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" yWindow="-12" windowWidth="9216" windowHeight="9492"/>
  </bookViews>
  <sheets>
    <sheet name="FY15-16" sheetId="1" r:id="rId1"/>
    <sheet name="Detail" sheetId="2" r:id="rId2"/>
    <sheet name="Calc" sheetId="3" r:id="rId3"/>
  </sheets>
  <calcPr calcId="125725"/>
</workbook>
</file>

<file path=xl/calcChain.xml><?xml version="1.0" encoding="utf-8"?>
<calcChain xmlns="http://schemas.openxmlformats.org/spreadsheetml/2006/main">
  <c r="P40" i="3"/>
  <c r="K13" i="2"/>
  <c r="K15" s="1"/>
  <c r="K14"/>
  <c r="G7"/>
  <c r="G12"/>
  <c r="G10"/>
  <c r="P23" i="3"/>
  <c r="J25"/>
  <c r="L27" i="2"/>
  <c r="L32"/>
  <c r="G34"/>
  <c r="L26"/>
  <c r="G32"/>
  <c r="G31"/>
  <c r="G30"/>
  <c r="G29"/>
  <c r="G28"/>
  <c r="G27"/>
  <c r="G26"/>
  <c r="G33" s="1"/>
  <c r="J33"/>
  <c r="L33" l="1"/>
  <c r="P28" i="3"/>
  <c r="G13" i="2"/>
  <c r="P33" i="3"/>
  <c r="G15" i="2"/>
  <c r="G22" s="1"/>
  <c r="P31" i="3"/>
  <c r="P35"/>
  <c r="P32"/>
  <c r="P30"/>
  <c r="P29"/>
  <c r="P25"/>
  <c r="P24"/>
  <c r="P22"/>
  <c r="P21"/>
  <c r="N13"/>
  <c r="M13"/>
  <c r="L13"/>
  <c r="J7"/>
  <c r="O7" s="1"/>
  <c r="P7" s="1"/>
  <c r="O12"/>
  <c r="O11"/>
  <c r="O10"/>
  <c r="P10" s="1"/>
  <c r="O9"/>
  <c r="O8"/>
  <c r="O6"/>
  <c r="P6" s="1"/>
  <c r="O5"/>
  <c r="O4"/>
  <c r="P4" s="1"/>
  <c r="O3"/>
  <c r="P3" s="1"/>
  <c r="O2"/>
  <c r="P2" s="1"/>
  <c r="K13"/>
  <c r="O17" s="1"/>
  <c r="P12"/>
  <c r="P11"/>
  <c r="P9"/>
  <c r="P8"/>
  <c r="P5"/>
  <c r="P36" l="1"/>
  <c r="P26"/>
  <c r="P13"/>
  <c r="P18" s="1"/>
  <c r="E20" i="2"/>
  <c r="P38" i="3" l="1"/>
  <c r="B15" i="2"/>
  <c r="B19" s="1"/>
  <c r="B22" s="1"/>
  <c r="N33" i="3" l="1"/>
  <c r="M33"/>
  <c r="F50"/>
  <c r="J36"/>
  <c r="E36"/>
  <c r="G35"/>
  <c r="I35" s="1"/>
  <c r="G34"/>
  <c r="I34" s="1"/>
  <c r="G33"/>
  <c r="I33" s="1"/>
  <c r="G32"/>
  <c r="I32" s="1"/>
  <c r="G30"/>
  <c r="I30" s="1"/>
  <c r="G29"/>
  <c r="I29" s="1"/>
  <c r="G28"/>
  <c r="G36" s="1"/>
  <c r="E26"/>
  <c r="J26"/>
  <c r="G25"/>
  <c r="I25" s="1"/>
  <c r="G24"/>
  <c r="I24" s="1"/>
  <c r="G23"/>
  <c r="I23" s="1"/>
  <c r="G22"/>
  <c r="I22" s="1"/>
  <c r="G21"/>
  <c r="J13"/>
  <c r="J16" s="1"/>
  <c r="E13"/>
  <c r="E16" s="1"/>
  <c r="G12"/>
  <c r="I12" s="1"/>
  <c r="G10"/>
  <c r="I10" s="1"/>
  <c r="G9"/>
  <c r="I9" s="1"/>
  <c r="G8"/>
  <c r="I8" s="1"/>
  <c r="G7"/>
  <c r="I7" s="1"/>
  <c r="I6"/>
  <c r="G6"/>
  <c r="G5"/>
  <c r="I5" s="1"/>
  <c r="G4"/>
  <c r="I4" s="1"/>
  <c r="G3"/>
  <c r="I3" s="1"/>
  <c r="G2"/>
  <c r="L51" i="1"/>
  <c r="L47"/>
  <c r="L52" s="1"/>
  <c r="L32"/>
  <c r="L10"/>
  <c r="L22" s="1"/>
  <c r="G13" i="3" l="1"/>
  <c r="G16" s="1"/>
  <c r="G38" s="1"/>
  <c r="G26"/>
  <c r="I28"/>
  <c r="I36" s="1"/>
  <c r="I2"/>
  <c r="I13" s="1"/>
  <c r="I16" s="1"/>
  <c r="O13"/>
  <c r="O16" s="1"/>
  <c r="O18" s="1"/>
  <c r="E38"/>
  <c r="E40" s="1"/>
  <c r="E43" s="1"/>
  <c r="J38"/>
  <c r="J40" s="1"/>
  <c r="J42" s="1"/>
  <c r="J44" s="1"/>
  <c r="I21"/>
  <c r="I26" s="1"/>
  <c r="I38" s="1"/>
  <c r="L54" i="1"/>
  <c r="R32"/>
  <c r="R22" l="1"/>
  <c r="J21"/>
  <c r="D21"/>
  <c r="O21" s="1"/>
  <c r="R52"/>
  <c r="J52"/>
  <c r="J32"/>
  <c r="J22"/>
  <c r="O51"/>
  <c r="O49"/>
  <c r="O47"/>
  <c r="O45"/>
  <c r="O37"/>
  <c r="O35"/>
  <c r="O31"/>
  <c r="O30"/>
  <c r="O29"/>
  <c r="O28"/>
  <c r="O27"/>
  <c r="O20"/>
  <c r="O18"/>
  <c r="O17"/>
  <c r="O16"/>
  <c r="O15"/>
  <c r="O14"/>
  <c r="O13"/>
  <c r="O12"/>
  <c r="O11"/>
  <c r="O10"/>
  <c r="F52"/>
  <c r="F32"/>
  <c r="F22"/>
  <c r="H52"/>
  <c r="H32"/>
  <c r="O32" s="1"/>
  <c r="H22"/>
  <c r="D52"/>
  <c r="D32"/>
  <c r="D22"/>
  <c r="O22" l="1"/>
  <c r="D54"/>
  <c r="O52"/>
  <c r="R54"/>
  <c r="J54"/>
  <c r="F54"/>
  <c r="H54"/>
  <c r="O54" l="1"/>
</calcChain>
</file>

<file path=xl/sharedStrings.xml><?xml version="1.0" encoding="utf-8"?>
<sst xmlns="http://schemas.openxmlformats.org/spreadsheetml/2006/main" count="145" uniqueCount="115">
  <si>
    <t>(in millions)</t>
  </si>
  <si>
    <t>Constitutionals &amp; Courts</t>
  </si>
  <si>
    <t>Sheriff</t>
  </si>
  <si>
    <t>Tax Collector</t>
  </si>
  <si>
    <t>Property Appraiser</t>
  </si>
  <si>
    <t>Courts</t>
  </si>
  <si>
    <t>Clerk</t>
  </si>
  <si>
    <t>BoCC Operating Departments</t>
  </si>
  <si>
    <t>Public Safety</t>
  </si>
  <si>
    <t>Human Services</t>
  </si>
  <si>
    <t>Facilities</t>
  </si>
  <si>
    <t>Parks (Regional)</t>
  </si>
  <si>
    <t>Debt Service</t>
  </si>
  <si>
    <t>TOTAL GENERAL FUND</t>
  </si>
  <si>
    <t>Medicaid</t>
  </si>
  <si>
    <t>Juvenile Justice</t>
  </si>
  <si>
    <t>Transit Transfer</t>
  </si>
  <si>
    <t>Medical Examiner</t>
  </si>
  <si>
    <t>Non-departmental/Transfers</t>
  </si>
  <si>
    <t>Supervisor of Elections</t>
  </si>
  <si>
    <t>As of 6-24-13</t>
  </si>
  <si>
    <t>As of 8-28-13</t>
  </si>
  <si>
    <t>ADOPTED</t>
  </si>
  <si>
    <t>FY 12-13</t>
  </si>
  <si>
    <t>SUBMITTED</t>
  </si>
  <si>
    <t>ADJUSTED</t>
  </si>
  <si>
    <t>FY 13-14</t>
  </si>
  <si>
    <t>State Attorney Support</t>
  </si>
  <si>
    <t>Public Defender Support</t>
  </si>
  <si>
    <t>Guardian Ad Litem Support</t>
  </si>
  <si>
    <t>Support All Others</t>
  </si>
  <si>
    <t>INCR/DECR</t>
  </si>
  <si>
    <t>ADOPTED vs.</t>
  </si>
  <si>
    <t>FY 14-15</t>
  </si>
  <si>
    <t>Major Maintenance</t>
  </si>
  <si>
    <t>Other (13 depts.)</t>
  </si>
  <si>
    <t>CONTINUATION</t>
  </si>
  <si>
    <t>Legal Aid</t>
  </si>
  <si>
    <t>Proposed</t>
  </si>
  <si>
    <t>GENERAL FUND
FY 2015-2016</t>
  </si>
  <si>
    <t>FY 15-16</t>
  </si>
  <si>
    <t xml:space="preserve">FY15-16 </t>
  </si>
  <si>
    <t>00100 Total Expenses</t>
  </si>
  <si>
    <t>Sheriff Pay Increase</t>
  </si>
  <si>
    <t>Sheriff Capital Projects</t>
  </si>
  <si>
    <t>Prop App Pay Increase</t>
  </si>
  <si>
    <t>Clerk Pay Increase</t>
  </si>
  <si>
    <t>Major Maintenance Reduction</t>
  </si>
  <si>
    <t>Elections</t>
  </si>
  <si>
    <t>Budget
2014-15</t>
  </si>
  <si>
    <t>Less Budgeted Pay Increases</t>
  </si>
  <si>
    <t>Budget
2015-16</t>
  </si>
  <si>
    <t>Pay increase</t>
  </si>
  <si>
    <t>Capital Project</t>
  </si>
  <si>
    <t xml:space="preserve">102 - Tax Collector                 </t>
  </si>
  <si>
    <t>or</t>
  </si>
  <si>
    <t xml:space="preserve">103 - Clerk to the Board            </t>
  </si>
  <si>
    <t>C&amp;C in Insight</t>
  </si>
  <si>
    <t xml:space="preserve">105 - Property Appraiser            </t>
  </si>
  <si>
    <t xml:space="preserve">106 - Supervisor of Elections       </t>
  </si>
  <si>
    <t xml:space="preserve">107 - Sheriff                       </t>
  </si>
  <si>
    <t xml:space="preserve">109 - Court Related Programs        </t>
  </si>
  <si>
    <t xml:space="preserve">110 - Public Defender               </t>
  </si>
  <si>
    <t xml:space="preserve">111 - State Attorney                </t>
  </si>
  <si>
    <t xml:space="preserve">112 - Medical Examiner              </t>
  </si>
  <si>
    <t xml:space="preserve">187 - Guardian Ad Litem             </t>
  </si>
  <si>
    <t>Grand Total</t>
  </si>
  <si>
    <t>BOCC Operating Dept</t>
  </si>
  <si>
    <t>BOCC Workshop</t>
  </si>
  <si>
    <t>(Insight report)</t>
  </si>
  <si>
    <t>Parks</t>
  </si>
  <si>
    <t>Faciliites</t>
  </si>
  <si>
    <t>Other (13 depts)</t>
  </si>
  <si>
    <t xml:space="preserve">Other </t>
  </si>
  <si>
    <t>GC58101*, T2*</t>
  </si>
  <si>
    <t>T48600</t>
  </si>
  <si>
    <t>T30105</t>
  </si>
  <si>
    <t>Transfer for 20/20</t>
  </si>
  <si>
    <t>GC5190300100.508121</t>
  </si>
  <si>
    <t>4*,00100,5*</t>
  </si>
  <si>
    <t>GC5190300100,&lt;&gt;508121</t>
  </si>
  <si>
    <t xml:space="preserve">Non-Dept </t>
  </si>
  <si>
    <t>20/20 Management</t>
  </si>
  <si>
    <t>Vehicle Replacement</t>
  </si>
  <si>
    <t>Prop App in E1 as 7.6   (Reg needs to change)</t>
  </si>
  <si>
    <t>113- Legal Aid</t>
  </si>
  <si>
    <t>State Attorney</t>
  </si>
  <si>
    <t>Public Defender</t>
  </si>
  <si>
    <t>Saluscare</t>
  </si>
  <si>
    <t>Total Drug Court</t>
  </si>
  <si>
    <t>Debt reduction from refinance</t>
  </si>
  <si>
    <t>00100,C*,E*, 5*</t>
  </si>
  <si>
    <t>Support</t>
  </si>
  <si>
    <t>T10609</t>
  </si>
  <si>
    <t>Drug court expansion</t>
  </si>
  <si>
    <t>T10600, T10601 and Court Support</t>
  </si>
  <si>
    <t>&lt;&gt;750,752,9046 (Hertz Gartner)</t>
  </si>
  <si>
    <t>T59401</t>
  </si>
  <si>
    <t xml:space="preserve">   E1 *100  &lt;&gt; GC589*</t>
  </si>
  <si>
    <t>3%</t>
  </si>
  <si>
    <t>Med Examiner</t>
  </si>
  <si>
    <t>1%</t>
  </si>
  <si>
    <t>4%</t>
  </si>
  <si>
    <t>Estimated</t>
  </si>
  <si>
    <t>for workshop</t>
  </si>
  <si>
    <t xml:space="preserve">Sheriff  </t>
  </si>
  <si>
    <t>GC589*,405*,205* &lt;&gt;</t>
  </si>
  <si>
    <t>Const Pay increase</t>
  </si>
  <si>
    <t>BOCC Pay Inc</t>
  </si>
  <si>
    <t>ME</t>
  </si>
  <si>
    <t>Sheriff Capital</t>
  </si>
  <si>
    <t>Major Maint from Reserves</t>
  </si>
  <si>
    <t>Sept 1</t>
  </si>
  <si>
    <t xml:space="preserve">   CIP Carryovers</t>
  </si>
  <si>
    <t>Growth Increment for Infrasructure</t>
  </si>
</sst>
</file>

<file path=xl/styles.xml><?xml version="1.0" encoding="utf-8"?>
<styleSheet xmlns="http://schemas.openxmlformats.org/spreadsheetml/2006/main">
  <numFmts count="7">
    <numFmt numFmtId="164" formatCode="_(* #,##0.0_);_(* \(#,##0.0\);_(* &quot;-&quot;?_);_(@_)"/>
    <numFmt numFmtId="165" formatCode="_(&quot;$&quot;* #,##0.0_);_(&quot;$&quot;* \(#,##0.0\);_(&quot;$&quot;* &quot;-&quot;?_);_(@_)"/>
    <numFmt numFmtId="166" formatCode="0.000%"/>
    <numFmt numFmtId="167" formatCode="#,##0.0_);\(#,##0.0\)"/>
    <numFmt numFmtId="168" formatCode="#,##0.0"/>
    <numFmt numFmtId="169" formatCode="mm/dd/yy;@"/>
    <numFmt numFmtId="170" formatCode="#,##0.00;\-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99B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8D4E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/>
    <xf numFmtId="0" fontId="3" fillId="0" borderId="0" xfId="0" applyFont="1" applyFill="1"/>
    <xf numFmtId="167" fontId="3" fillId="0" borderId="0" xfId="0" applyNumberFormat="1" applyFont="1" applyFill="1"/>
    <xf numFmtId="0" fontId="4" fillId="0" borderId="0" xfId="0" applyFont="1" applyFill="1"/>
    <xf numFmtId="0" fontId="3" fillId="2" borderId="0" xfId="0" applyFont="1" applyFill="1"/>
    <xf numFmtId="167" fontId="3" fillId="2" borderId="0" xfId="0" applyNumberFormat="1" applyFont="1" applyFill="1"/>
    <xf numFmtId="0" fontId="4" fillId="2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2" borderId="0" xfId="0" applyFont="1" applyFill="1"/>
    <xf numFmtId="167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right"/>
    </xf>
    <xf numFmtId="164" fontId="4" fillId="0" borderId="0" xfId="0" applyNumberFormat="1" applyFont="1" applyFill="1"/>
    <xf numFmtId="0" fontId="4" fillId="0" borderId="0" xfId="0" applyFont="1" applyFill="1" applyBorder="1"/>
    <xf numFmtId="0" fontId="4" fillId="2" borderId="0" xfId="0" applyFont="1" applyFill="1" applyBorder="1"/>
    <xf numFmtId="164" fontId="4" fillId="0" borderId="0" xfId="0" quotePrefix="1" applyNumberFormat="1" applyFont="1" applyFill="1" applyAlignment="1">
      <alignment horizontal="right"/>
    </xf>
    <xf numFmtId="164" fontId="4" fillId="0" borderId="1" xfId="0" applyNumberFormat="1" applyFont="1" applyFill="1" applyBorder="1"/>
    <xf numFmtId="164" fontId="4" fillId="0" borderId="0" xfId="0" applyNumberFormat="1" applyFont="1" applyFill="1" applyBorder="1"/>
    <xf numFmtId="165" fontId="4" fillId="0" borderId="1" xfId="0" applyNumberFormat="1" applyFont="1" applyFill="1" applyBorder="1"/>
    <xf numFmtId="167" fontId="4" fillId="0" borderId="1" xfId="0" applyNumberFormat="1" applyFont="1" applyFill="1" applyBorder="1"/>
    <xf numFmtId="164" fontId="3" fillId="2" borderId="0" xfId="0" applyNumberFormat="1" applyFont="1" applyFill="1"/>
    <xf numFmtId="166" fontId="3" fillId="2" borderId="0" xfId="0" applyNumberFormat="1" applyFont="1" applyFill="1"/>
    <xf numFmtId="0" fontId="3" fillId="0" borderId="0" xfId="0" applyFont="1" applyFill="1" applyBorder="1"/>
    <xf numFmtId="0" fontId="3" fillId="2" borderId="0" xfId="0" applyFont="1" applyFill="1" applyBorder="1"/>
    <xf numFmtId="165" fontId="3" fillId="0" borderId="0" xfId="0" applyNumberFormat="1" applyFont="1" applyFill="1"/>
    <xf numFmtId="168" fontId="4" fillId="2" borderId="0" xfId="0" applyNumberFormat="1" applyFont="1" applyFill="1" applyBorder="1"/>
    <xf numFmtId="168" fontId="4" fillId="0" borderId="0" xfId="0" applyNumberFormat="1" applyFont="1" applyFill="1"/>
    <xf numFmtId="168" fontId="3" fillId="0" borderId="0" xfId="0" applyNumberFormat="1" applyFont="1" applyFill="1"/>
    <xf numFmtId="168" fontId="3" fillId="2" borderId="0" xfId="0" applyNumberFormat="1" applyFont="1" applyFill="1" applyBorder="1"/>
    <xf numFmtId="165" fontId="4" fillId="0" borderId="0" xfId="0" applyNumberFormat="1" applyFont="1" applyFill="1" applyBorder="1"/>
    <xf numFmtId="165" fontId="4" fillId="0" borderId="2" xfId="0" applyNumberFormat="1" applyFont="1" applyFill="1" applyBorder="1"/>
    <xf numFmtId="14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8" fontId="4" fillId="0" borderId="0" xfId="0" applyNumberFormat="1" applyFont="1" applyFill="1" applyBorder="1"/>
    <xf numFmtId="3" fontId="0" fillId="0" borderId="0" xfId="0" applyNumberFormat="1" applyBorder="1"/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0" fontId="7" fillId="0" borderId="3" xfId="0" applyNumberFormat="1" applyFont="1" applyBorder="1" applyAlignment="1">
      <alignment horizontal="left" vertical="center"/>
    </xf>
    <xf numFmtId="170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170" fontId="9" fillId="0" borderId="0" xfId="0" applyNumberFormat="1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168" fontId="7" fillId="0" borderId="3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68" fontId="9" fillId="0" borderId="3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168" fontId="9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0" fontId="10" fillId="0" borderId="0" xfId="0" applyFont="1" applyFill="1"/>
    <xf numFmtId="167" fontId="4" fillId="0" borderId="0" xfId="0" applyNumberFormat="1" applyFont="1" applyFill="1" applyBorder="1"/>
    <xf numFmtId="3" fontId="1" fillId="0" borderId="0" xfId="0" applyNumberFormat="1" applyFont="1" applyBorder="1"/>
    <xf numFmtId="169" fontId="1" fillId="0" borderId="0" xfId="0" applyNumberFormat="1" applyFont="1" applyBorder="1" applyAlignment="1"/>
    <xf numFmtId="3" fontId="1" fillId="3" borderId="3" xfId="0" applyNumberFormat="1" applyFont="1" applyFill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7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68" fontId="9" fillId="0" borderId="0" xfId="0" applyNumberFormat="1" applyFont="1" applyFill="1" applyAlignment="1">
      <alignment vertical="center"/>
    </xf>
    <xf numFmtId="168" fontId="9" fillId="0" borderId="0" xfId="0" applyNumberFormat="1" applyFont="1" applyBorder="1" applyAlignment="1">
      <alignment vertical="center"/>
    </xf>
    <xf numFmtId="168" fontId="9" fillId="0" borderId="3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8" fontId="4" fillId="2" borderId="0" xfId="0" applyNumberFormat="1" applyFont="1" applyFill="1" applyBorder="1" applyAlignment="1">
      <alignment vertical="center"/>
    </xf>
    <xf numFmtId="168" fontId="4" fillId="0" borderId="1" xfId="0" applyNumberFormat="1" applyFont="1" applyFill="1" applyBorder="1" applyAlignment="1">
      <alignment vertical="center"/>
    </xf>
    <xf numFmtId="168" fontId="4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165" fontId="4" fillId="0" borderId="3" xfId="0" applyNumberFormat="1" applyFont="1" applyFill="1" applyBorder="1" applyAlignment="1"/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Border="1" applyAlignment="1"/>
    <xf numFmtId="165" fontId="4" fillId="0" borderId="0" xfId="0" applyNumberFormat="1" applyFont="1" applyFill="1" applyAlignment="1"/>
    <xf numFmtId="0" fontId="3" fillId="2" borderId="0" xfId="0" applyFont="1" applyFill="1" applyAlignment="1"/>
    <xf numFmtId="3" fontId="0" fillId="0" borderId="3" xfId="0" applyNumberFormat="1" applyBorder="1"/>
    <xf numFmtId="3" fontId="1" fillId="0" borderId="0" xfId="0" quotePrefix="1" applyNumberFormat="1" applyFont="1" applyBorder="1" applyAlignment="1">
      <alignment horizontal="center"/>
    </xf>
    <xf numFmtId="3" fontId="1" fillId="0" borderId="7" xfId="0" quotePrefix="1" applyNumberFormat="1" applyFont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4" xfId="0" applyNumberFormat="1" applyBorder="1"/>
    <xf numFmtId="3" fontId="1" fillId="0" borderId="6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6" xfId="0" applyNumberFormat="1" applyFont="1" applyBorder="1"/>
    <xf numFmtId="3" fontId="1" fillId="0" borderId="15" xfId="0" applyNumberFormat="1" applyFont="1" applyBorder="1"/>
    <xf numFmtId="3" fontId="1" fillId="0" borderId="7" xfId="0" applyNumberFormat="1" applyFont="1" applyBorder="1"/>
    <xf numFmtId="3" fontId="0" fillId="0" borderId="3" xfId="0" applyNumberFormat="1" applyFill="1" applyBorder="1"/>
    <xf numFmtId="3" fontId="0" fillId="0" borderId="5" xfId="0" applyNumberForma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3" fontId="1" fillId="0" borderId="4" xfId="0" applyNumberFormat="1" applyFont="1" applyBorder="1"/>
    <xf numFmtId="3" fontId="1" fillId="3" borderId="15" xfId="0" applyNumberFormat="1" applyFont="1" applyFill="1" applyBorder="1"/>
    <xf numFmtId="3" fontId="0" fillId="4" borderId="0" xfId="0" quotePrefix="1" applyNumberFormat="1" applyFill="1"/>
    <xf numFmtId="3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/>
    </xf>
    <xf numFmtId="167" fontId="1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8D4EC"/>
      <color rgb="FF1F99B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2</xdr:col>
      <xdr:colOff>1314450</xdr:colOff>
      <xdr:row>0</xdr:row>
      <xdr:rowOff>752475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050"/>
          <a:ext cx="2162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tabSelected="1" workbookViewId="0">
      <selection activeCell="T45" sqref="T45"/>
    </sheetView>
  </sheetViews>
  <sheetFormatPr defaultColWidth="9.109375" defaultRowHeight="17.399999999999999"/>
  <cols>
    <col min="1" max="1" width="9.109375" style="5"/>
    <col min="2" max="2" width="4.33203125" style="5" customWidth="1"/>
    <col min="3" max="3" width="40.44140625" style="5" customWidth="1"/>
    <col min="4" max="4" width="16.6640625" style="5" customWidth="1"/>
    <col min="5" max="5" width="2.6640625" style="5" customWidth="1"/>
    <col min="6" max="6" width="16.5546875" style="5" hidden="1" customWidth="1"/>
    <col min="7" max="7" width="1.88671875" style="5" hidden="1" customWidth="1"/>
    <col min="8" max="8" width="16.5546875" style="5" hidden="1" customWidth="1"/>
    <col min="9" max="9" width="1.6640625" style="5" hidden="1" customWidth="1"/>
    <col min="10" max="10" width="16.6640625" style="5" customWidth="1"/>
    <col min="11" max="11" width="2.44140625" style="5" customWidth="1"/>
    <col min="12" max="12" width="16.6640625" style="5" customWidth="1"/>
    <col min="13" max="13" width="2.44140625" style="5" customWidth="1"/>
    <col min="14" max="14" width="1.6640625" style="5" customWidth="1"/>
    <col min="15" max="15" width="16.109375" style="6" hidden="1" customWidth="1"/>
    <col min="16" max="16" width="4" style="5" hidden="1" customWidth="1"/>
    <col min="17" max="17" width="4" style="5" customWidth="1"/>
    <col min="18" max="18" width="19.109375" style="7" customWidth="1"/>
    <col min="19" max="19" width="1.6640625" style="5" customWidth="1"/>
    <col min="20" max="16384" width="9.109375" style="5"/>
  </cols>
  <sheetData>
    <row r="1" spans="1:21" ht="65.25" customHeight="1">
      <c r="U1" s="7"/>
    </row>
    <row r="2" spans="1:21" ht="36.75" customHeight="1">
      <c r="A2" s="128" t="s">
        <v>39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U2" s="7"/>
    </row>
    <row r="3" spans="1:21" ht="9" customHeight="1"/>
    <row r="4" spans="1:21" ht="7.5" customHeight="1">
      <c r="B4" s="7"/>
      <c r="N4" s="8"/>
      <c r="O4" s="9"/>
      <c r="P4" s="8"/>
      <c r="Q4" s="8"/>
      <c r="R4" s="10"/>
      <c r="S4" s="8"/>
    </row>
    <row r="5" spans="1:21" ht="15.6">
      <c r="D5" s="11" t="s">
        <v>22</v>
      </c>
      <c r="E5" s="11"/>
      <c r="F5" s="11" t="s">
        <v>24</v>
      </c>
      <c r="G5" s="11"/>
      <c r="H5" s="11" t="s">
        <v>25</v>
      </c>
      <c r="I5" s="12"/>
      <c r="J5" s="11" t="s">
        <v>22</v>
      </c>
      <c r="K5" s="11"/>
      <c r="L5" s="11" t="s">
        <v>22</v>
      </c>
      <c r="M5" s="11"/>
      <c r="N5" s="13"/>
      <c r="O5" s="14" t="s">
        <v>31</v>
      </c>
      <c r="P5" s="12"/>
      <c r="Q5" s="130" t="s">
        <v>36</v>
      </c>
      <c r="R5" s="131"/>
      <c r="S5" s="8"/>
    </row>
    <row r="6" spans="1:21" ht="15.6">
      <c r="B6" s="5" t="s">
        <v>0</v>
      </c>
      <c r="D6" s="11" t="s">
        <v>23</v>
      </c>
      <c r="E6" s="11"/>
      <c r="F6" s="11" t="s">
        <v>26</v>
      </c>
      <c r="G6" s="11"/>
      <c r="H6" s="11" t="s">
        <v>26</v>
      </c>
      <c r="I6" s="12"/>
      <c r="J6" s="11" t="s">
        <v>26</v>
      </c>
      <c r="K6" s="11"/>
      <c r="L6" s="11" t="s">
        <v>33</v>
      </c>
      <c r="M6" s="11"/>
      <c r="N6" s="13"/>
      <c r="O6" s="14" t="s">
        <v>32</v>
      </c>
      <c r="P6" s="12"/>
      <c r="Q6" s="130" t="s">
        <v>40</v>
      </c>
      <c r="R6" s="131"/>
      <c r="S6" s="8"/>
    </row>
    <row r="7" spans="1:21">
      <c r="F7" s="15" t="s">
        <v>20</v>
      </c>
      <c r="G7" s="16"/>
      <c r="H7" s="15" t="s">
        <v>21</v>
      </c>
      <c r="J7" s="15"/>
      <c r="K7" s="15"/>
      <c r="L7" s="7"/>
      <c r="M7" s="15"/>
      <c r="N7" s="8"/>
      <c r="O7" s="17" t="s">
        <v>25</v>
      </c>
      <c r="S7" s="8"/>
    </row>
    <row r="8" spans="1:21">
      <c r="B8" s="7" t="s">
        <v>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0"/>
      <c r="O8" s="18"/>
      <c r="P8" s="7"/>
      <c r="Q8" s="7"/>
      <c r="S8" s="8"/>
    </row>
    <row r="9" spans="1:21" ht="10.9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0"/>
      <c r="O9" s="18"/>
      <c r="P9" s="7"/>
      <c r="Q9" s="7"/>
      <c r="S9" s="8"/>
    </row>
    <row r="10" spans="1:21">
      <c r="B10" s="7"/>
      <c r="C10" s="7" t="s">
        <v>2</v>
      </c>
      <c r="D10" s="19">
        <v>137</v>
      </c>
      <c r="E10" s="20"/>
      <c r="F10" s="19">
        <v>141.9</v>
      </c>
      <c r="G10" s="7"/>
      <c r="H10" s="19">
        <v>141.9</v>
      </c>
      <c r="I10" s="7"/>
      <c r="J10" s="19">
        <v>140.9</v>
      </c>
      <c r="K10" s="19"/>
      <c r="L10" s="19">
        <f>149.2-4</f>
        <v>145.19999999999999</v>
      </c>
      <c r="M10" s="19"/>
      <c r="N10" s="10"/>
      <c r="O10" s="19">
        <f>+H10-D10</f>
        <v>4.9000000000000057</v>
      </c>
      <c r="P10" s="7"/>
      <c r="Q10" s="7"/>
      <c r="R10" s="19">
        <v>155.69999999999999</v>
      </c>
      <c r="S10" s="8"/>
    </row>
    <row r="11" spans="1:21">
      <c r="B11" s="7"/>
      <c r="C11" s="7" t="s">
        <v>3</v>
      </c>
      <c r="D11" s="21">
        <v>13</v>
      </c>
      <c r="E11" s="7"/>
      <c r="F11" s="21">
        <v>12.8</v>
      </c>
      <c r="G11" s="7"/>
      <c r="H11" s="21">
        <v>12.8</v>
      </c>
      <c r="I11" s="7"/>
      <c r="J11" s="21">
        <v>12.8</v>
      </c>
      <c r="K11" s="21"/>
      <c r="L11" s="18">
        <v>13.1</v>
      </c>
      <c r="M11" s="21"/>
      <c r="N11" s="10"/>
      <c r="O11" s="19">
        <f t="shared" ref="O11:O22" si="0">+H11-D11</f>
        <v>-0.19999999999999929</v>
      </c>
      <c r="P11" s="7"/>
      <c r="Q11" s="7"/>
      <c r="R11" s="18">
        <v>13.3</v>
      </c>
      <c r="S11" s="8"/>
    </row>
    <row r="12" spans="1:21">
      <c r="B12" s="7"/>
      <c r="C12" s="7" t="s">
        <v>4</v>
      </c>
      <c r="D12" s="21">
        <v>7.6</v>
      </c>
      <c r="E12" s="7"/>
      <c r="F12" s="21">
        <v>8</v>
      </c>
      <c r="G12" s="7"/>
      <c r="H12" s="21">
        <v>8</v>
      </c>
      <c r="I12" s="7"/>
      <c r="J12" s="21">
        <v>8</v>
      </c>
      <c r="K12" s="21"/>
      <c r="L12" s="18">
        <v>7.6</v>
      </c>
      <c r="M12" s="21"/>
      <c r="N12" s="10"/>
      <c r="O12" s="19">
        <f t="shared" si="0"/>
        <v>0.40000000000000036</v>
      </c>
      <c r="P12" s="7"/>
      <c r="Q12" s="7"/>
      <c r="R12" s="18">
        <v>7.1</v>
      </c>
      <c r="S12" s="8"/>
    </row>
    <row r="13" spans="1:21">
      <c r="B13" s="7"/>
      <c r="C13" s="7" t="s">
        <v>5</v>
      </c>
      <c r="D13" s="21">
        <v>6.8</v>
      </c>
      <c r="E13" s="7"/>
      <c r="F13" s="21">
        <v>7.6</v>
      </c>
      <c r="G13" s="7"/>
      <c r="H13" s="21">
        <v>7.6</v>
      </c>
      <c r="I13" s="7"/>
      <c r="J13" s="21">
        <v>7.6</v>
      </c>
      <c r="K13" s="21"/>
      <c r="L13" s="18">
        <v>7.7</v>
      </c>
      <c r="M13" s="21"/>
      <c r="N13" s="10"/>
      <c r="O13" s="19">
        <f t="shared" si="0"/>
        <v>0.79999999999999982</v>
      </c>
      <c r="P13" s="7"/>
      <c r="Q13" s="7"/>
      <c r="R13" s="18">
        <v>8.1999999999999993</v>
      </c>
      <c r="S13" s="8"/>
    </row>
    <row r="14" spans="1:21">
      <c r="B14" s="7"/>
      <c r="C14" s="7" t="s">
        <v>6</v>
      </c>
      <c r="D14" s="21">
        <v>7.5</v>
      </c>
      <c r="E14" s="7"/>
      <c r="F14" s="21">
        <v>7.5</v>
      </c>
      <c r="G14" s="7"/>
      <c r="H14" s="21">
        <v>7.5</v>
      </c>
      <c r="I14" s="7"/>
      <c r="J14" s="21">
        <v>7.5</v>
      </c>
      <c r="K14" s="21"/>
      <c r="L14" s="18">
        <v>7.6</v>
      </c>
      <c r="M14" s="21"/>
      <c r="N14" s="10"/>
      <c r="O14" s="19">
        <f t="shared" si="0"/>
        <v>0</v>
      </c>
      <c r="P14" s="7"/>
      <c r="Q14" s="7"/>
      <c r="R14" s="18">
        <v>8</v>
      </c>
      <c r="S14" s="8"/>
    </row>
    <row r="15" spans="1:21">
      <c r="B15" s="7"/>
      <c r="C15" s="7" t="s">
        <v>19</v>
      </c>
      <c r="D15" s="21">
        <v>6.2</v>
      </c>
      <c r="E15" s="7"/>
      <c r="F15" s="21">
        <v>6.4</v>
      </c>
      <c r="G15" s="7"/>
      <c r="H15" s="21">
        <v>6.4</v>
      </c>
      <c r="I15" s="7"/>
      <c r="J15" s="21">
        <v>6.4</v>
      </c>
      <c r="K15" s="21"/>
      <c r="L15" s="18">
        <v>6.8</v>
      </c>
      <c r="M15" s="21"/>
      <c r="N15" s="10"/>
      <c r="O15" s="19">
        <f t="shared" si="0"/>
        <v>0.20000000000000018</v>
      </c>
      <c r="P15" s="7"/>
      <c r="Q15" s="7"/>
      <c r="R15" s="18">
        <v>8.9</v>
      </c>
      <c r="S15" s="8"/>
    </row>
    <row r="16" spans="1:21">
      <c r="B16" s="7"/>
      <c r="C16" s="7" t="s">
        <v>17</v>
      </c>
      <c r="D16" s="21">
        <v>2.4</v>
      </c>
      <c r="E16" s="7"/>
      <c r="F16" s="21">
        <v>2.5</v>
      </c>
      <c r="G16" s="22"/>
      <c r="H16" s="21">
        <v>2.5</v>
      </c>
      <c r="I16" s="22"/>
      <c r="J16" s="21">
        <v>2.5</v>
      </c>
      <c r="K16" s="21"/>
      <c r="L16" s="18">
        <v>2.7</v>
      </c>
      <c r="M16" s="21"/>
      <c r="N16" s="23"/>
      <c r="O16" s="19">
        <f t="shared" si="0"/>
        <v>0.10000000000000009</v>
      </c>
      <c r="P16" s="7"/>
      <c r="Q16" s="7"/>
      <c r="R16" s="18">
        <v>3.4</v>
      </c>
      <c r="S16" s="8"/>
    </row>
    <row r="17" spans="2:19">
      <c r="B17" s="7"/>
      <c r="C17" s="7" t="s">
        <v>27</v>
      </c>
      <c r="D17" s="24">
        <v>0.9</v>
      </c>
      <c r="E17" s="7"/>
      <c r="F17" s="24">
        <v>0.9</v>
      </c>
      <c r="G17" s="24"/>
      <c r="H17" s="24">
        <v>0.9</v>
      </c>
      <c r="I17" s="22"/>
      <c r="J17" s="24">
        <v>0.9</v>
      </c>
      <c r="K17" s="24"/>
      <c r="L17" s="18">
        <v>1</v>
      </c>
      <c r="M17" s="24"/>
      <c r="N17" s="23"/>
      <c r="O17" s="19">
        <f t="shared" si="0"/>
        <v>0</v>
      </c>
      <c r="P17" s="7"/>
      <c r="Q17" s="7"/>
      <c r="R17" s="18">
        <v>1.2</v>
      </c>
      <c r="S17" s="8"/>
    </row>
    <row r="18" spans="2:19">
      <c r="B18" s="7"/>
      <c r="C18" s="7" t="s">
        <v>28</v>
      </c>
      <c r="D18" s="24">
        <v>0.6</v>
      </c>
      <c r="E18" s="7"/>
      <c r="F18" s="24">
        <v>0.6</v>
      </c>
      <c r="G18" s="24"/>
      <c r="H18" s="24">
        <v>0.6</v>
      </c>
      <c r="I18" s="22"/>
      <c r="J18" s="24">
        <v>0.6</v>
      </c>
      <c r="K18" s="24"/>
      <c r="L18" s="18">
        <v>0.7</v>
      </c>
      <c r="M18" s="24"/>
      <c r="N18" s="23"/>
      <c r="O18" s="19">
        <f t="shared" si="0"/>
        <v>0</v>
      </c>
      <c r="P18" s="7"/>
      <c r="Q18" s="7"/>
      <c r="R18" s="18">
        <v>0.9</v>
      </c>
      <c r="S18" s="8"/>
    </row>
    <row r="19" spans="2:19">
      <c r="B19" s="7"/>
      <c r="C19" s="7" t="s">
        <v>37</v>
      </c>
      <c r="D19" s="24">
        <v>0.5</v>
      </c>
      <c r="E19" s="7"/>
      <c r="F19" s="24"/>
      <c r="G19" s="24"/>
      <c r="H19" s="24"/>
      <c r="I19" s="22"/>
      <c r="J19" s="24">
        <v>0.5</v>
      </c>
      <c r="K19" s="24"/>
      <c r="L19" s="18">
        <v>0.5</v>
      </c>
      <c r="M19" s="24"/>
      <c r="N19" s="23"/>
      <c r="O19" s="19"/>
      <c r="P19" s="7"/>
      <c r="Q19" s="7"/>
      <c r="R19" s="18">
        <v>0.5</v>
      </c>
      <c r="S19" s="8"/>
    </row>
    <row r="20" spans="2:19">
      <c r="B20" s="7"/>
      <c r="C20" s="7" t="s">
        <v>29</v>
      </c>
      <c r="D20" s="24">
        <v>0.2</v>
      </c>
      <c r="E20" s="7"/>
      <c r="F20" s="24">
        <v>0.2</v>
      </c>
      <c r="G20" s="24"/>
      <c r="H20" s="24">
        <v>0.2</v>
      </c>
      <c r="I20" s="22"/>
      <c r="J20" s="24">
        <v>0.2</v>
      </c>
      <c r="K20" s="24"/>
      <c r="L20" s="18">
        <v>0.2</v>
      </c>
      <c r="M20" s="24"/>
      <c r="N20" s="23"/>
      <c r="O20" s="19">
        <f t="shared" si="0"/>
        <v>0</v>
      </c>
      <c r="P20" s="7"/>
      <c r="Q20" s="7"/>
      <c r="R20" s="18">
        <v>0.2</v>
      </c>
      <c r="S20" s="8"/>
    </row>
    <row r="21" spans="2:19">
      <c r="B21" s="7"/>
      <c r="C21" s="7" t="s">
        <v>30</v>
      </c>
      <c r="D21" s="25">
        <f>11.7-0.5</f>
        <v>11.2</v>
      </c>
      <c r="E21" s="7"/>
      <c r="F21" s="25">
        <v>11.9</v>
      </c>
      <c r="G21" s="25"/>
      <c r="H21" s="25">
        <v>11.9</v>
      </c>
      <c r="I21" s="22"/>
      <c r="J21" s="25">
        <f>11.9-0.5</f>
        <v>11.4</v>
      </c>
      <c r="K21" s="26"/>
      <c r="L21" s="28">
        <v>10.1</v>
      </c>
      <c r="M21" s="26"/>
      <c r="N21" s="23"/>
      <c r="O21" s="27">
        <f t="shared" si="0"/>
        <v>0.70000000000000107</v>
      </c>
      <c r="P21" s="22"/>
      <c r="Q21" s="22"/>
      <c r="R21" s="28">
        <v>10.4</v>
      </c>
      <c r="S21" s="29"/>
    </row>
    <row r="22" spans="2:19">
      <c r="B22" s="7"/>
      <c r="C22" s="7"/>
      <c r="D22" s="19">
        <f>SUM(D10:D21)</f>
        <v>193.89999999999998</v>
      </c>
      <c r="E22" s="7"/>
      <c r="F22" s="19">
        <f>SUM(F10:F21)</f>
        <v>200.3</v>
      </c>
      <c r="G22" s="22"/>
      <c r="H22" s="19">
        <f>SUM(H10:H21)</f>
        <v>200.3</v>
      </c>
      <c r="I22" s="22"/>
      <c r="J22" s="19">
        <f>SUM(J10:J21)</f>
        <v>199.3</v>
      </c>
      <c r="K22" s="19"/>
      <c r="L22" s="19">
        <f>SUM(L10:L21)</f>
        <v>203.19999999999993</v>
      </c>
      <c r="M22" s="19"/>
      <c r="N22" s="23"/>
      <c r="O22" s="19">
        <f t="shared" si="0"/>
        <v>6.4000000000000341</v>
      </c>
      <c r="P22" s="7"/>
      <c r="Q22" s="7"/>
      <c r="R22" s="19">
        <f>SUM(R10:R21)</f>
        <v>217.79999999999998</v>
      </c>
      <c r="S22" s="8"/>
    </row>
    <row r="23" spans="2:19" ht="10.8" customHeight="1">
      <c r="B23" s="7"/>
      <c r="C23" s="7"/>
      <c r="D23" s="7"/>
      <c r="E23" s="7"/>
      <c r="F23" s="7"/>
      <c r="G23" s="22"/>
      <c r="H23" s="7"/>
      <c r="I23" s="22"/>
      <c r="J23" s="7"/>
      <c r="K23" s="7"/>
      <c r="L23" s="7"/>
      <c r="M23" s="7"/>
      <c r="N23" s="23"/>
      <c r="O23" s="19"/>
      <c r="P23" s="7"/>
      <c r="Q23" s="7"/>
      <c r="S23" s="8"/>
    </row>
    <row r="24" spans="2:19" ht="12.6" customHeight="1">
      <c r="B24" s="7"/>
      <c r="C24" s="7"/>
      <c r="D24" s="7"/>
      <c r="E24" s="7"/>
      <c r="F24" s="7"/>
      <c r="G24" s="22"/>
      <c r="H24" s="7"/>
      <c r="I24" s="22"/>
      <c r="J24" s="7"/>
      <c r="K24" s="7"/>
      <c r="L24" s="7"/>
      <c r="M24" s="7"/>
      <c r="N24" s="23"/>
      <c r="O24" s="19"/>
      <c r="P24" s="7"/>
      <c r="Q24" s="7"/>
      <c r="S24" s="8"/>
    </row>
    <row r="25" spans="2:19">
      <c r="B25" s="7" t="s">
        <v>7</v>
      </c>
      <c r="C25" s="7"/>
      <c r="D25" s="7"/>
      <c r="E25" s="7"/>
      <c r="F25" s="7"/>
      <c r="G25" s="22"/>
      <c r="H25" s="7"/>
      <c r="I25" s="22"/>
      <c r="J25" s="7"/>
      <c r="K25" s="7"/>
      <c r="L25" s="7"/>
      <c r="M25" s="7"/>
      <c r="N25" s="23"/>
      <c r="O25" s="19"/>
      <c r="P25" s="7"/>
      <c r="Q25" s="7"/>
      <c r="S25" s="8"/>
    </row>
    <row r="26" spans="2:19" ht="10.95" customHeight="1">
      <c r="B26" s="7"/>
      <c r="C26" s="7"/>
      <c r="D26" s="7"/>
      <c r="E26" s="7"/>
      <c r="F26" s="7"/>
      <c r="G26" s="22"/>
      <c r="H26" s="7"/>
      <c r="I26" s="22"/>
      <c r="J26" s="7"/>
      <c r="K26" s="7"/>
      <c r="L26" s="7"/>
      <c r="M26" s="7"/>
      <c r="N26" s="23"/>
      <c r="O26" s="19"/>
      <c r="P26" s="7"/>
      <c r="Q26" s="7"/>
      <c r="S26" s="8"/>
    </row>
    <row r="27" spans="2:19">
      <c r="B27" s="20"/>
      <c r="C27" s="7" t="s">
        <v>8</v>
      </c>
      <c r="D27" s="19">
        <v>36.799999999999997</v>
      </c>
      <c r="E27" s="7"/>
      <c r="F27" s="19">
        <v>35.9</v>
      </c>
      <c r="G27" s="22"/>
      <c r="H27" s="19">
        <v>35.4</v>
      </c>
      <c r="I27" s="22"/>
      <c r="J27" s="19">
        <v>35.4</v>
      </c>
      <c r="K27" s="19"/>
      <c r="L27" s="19">
        <v>37.1</v>
      </c>
      <c r="M27" s="19"/>
      <c r="N27" s="23"/>
      <c r="O27" s="19">
        <f t="shared" ref="O27:O32" si="1">+H27-D27</f>
        <v>-1.3999999999999986</v>
      </c>
      <c r="P27" s="7"/>
      <c r="Q27" s="7"/>
      <c r="R27" s="19">
        <v>40.1</v>
      </c>
      <c r="S27" s="8"/>
    </row>
    <row r="28" spans="2:19">
      <c r="B28" s="20"/>
      <c r="C28" s="7" t="s">
        <v>9</v>
      </c>
      <c r="D28" s="21">
        <v>22.1</v>
      </c>
      <c r="E28" s="7"/>
      <c r="F28" s="21">
        <v>19.7</v>
      </c>
      <c r="G28" s="22"/>
      <c r="H28" s="21">
        <v>19</v>
      </c>
      <c r="I28" s="22"/>
      <c r="J28" s="21">
        <v>19.5</v>
      </c>
      <c r="K28" s="21"/>
      <c r="L28" s="18">
        <v>18</v>
      </c>
      <c r="M28" s="21"/>
      <c r="N28" s="23"/>
      <c r="O28" s="19">
        <f t="shared" si="1"/>
        <v>-3.1000000000000014</v>
      </c>
      <c r="P28" s="7"/>
      <c r="Q28" s="7"/>
      <c r="R28" s="18">
        <v>18.5</v>
      </c>
      <c r="S28" s="8"/>
    </row>
    <row r="29" spans="2:19">
      <c r="B29" s="7"/>
      <c r="C29" s="7" t="s">
        <v>11</v>
      </c>
      <c r="D29" s="21">
        <v>12.6</v>
      </c>
      <c r="E29" s="7"/>
      <c r="F29" s="21">
        <v>13.4</v>
      </c>
      <c r="G29" s="22"/>
      <c r="H29" s="21">
        <v>12.8</v>
      </c>
      <c r="I29" s="22"/>
      <c r="J29" s="21">
        <v>12.8</v>
      </c>
      <c r="K29" s="21"/>
      <c r="L29" s="18">
        <v>13.5</v>
      </c>
      <c r="M29" s="21"/>
      <c r="N29" s="23"/>
      <c r="O29" s="19">
        <f t="shared" si="1"/>
        <v>0.20000000000000107</v>
      </c>
      <c r="P29" s="7"/>
      <c r="Q29" s="7"/>
      <c r="R29" s="18">
        <v>16</v>
      </c>
      <c r="S29" s="8"/>
    </row>
    <row r="30" spans="2:19">
      <c r="B30" s="7"/>
      <c r="C30" s="7" t="s">
        <v>10</v>
      </c>
      <c r="D30" s="21">
        <v>11.6</v>
      </c>
      <c r="E30" s="7"/>
      <c r="F30" s="21">
        <v>12.2</v>
      </c>
      <c r="G30" s="22"/>
      <c r="H30" s="21">
        <v>12.2</v>
      </c>
      <c r="I30" s="22"/>
      <c r="J30" s="21">
        <v>12.2</v>
      </c>
      <c r="K30" s="21"/>
      <c r="L30" s="18">
        <v>12.5</v>
      </c>
      <c r="M30" s="21"/>
      <c r="N30" s="23"/>
      <c r="O30" s="19">
        <f t="shared" si="1"/>
        <v>0.59999999999999964</v>
      </c>
      <c r="P30" s="7"/>
      <c r="Q30" s="7"/>
      <c r="R30" s="18">
        <v>14.6</v>
      </c>
      <c r="S30" s="8"/>
    </row>
    <row r="31" spans="2:19">
      <c r="B31" s="7"/>
      <c r="C31" s="7" t="s">
        <v>35</v>
      </c>
      <c r="D31" s="25">
        <v>20.2</v>
      </c>
      <c r="E31" s="7"/>
      <c r="F31" s="25">
        <v>19.7</v>
      </c>
      <c r="G31" s="22"/>
      <c r="H31" s="25">
        <v>19.2</v>
      </c>
      <c r="I31" s="22"/>
      <c r="J31" s="25">
        <v>19.2</v>
      </c>
      <c r="K31" s="26"/>
      <c r="L31" s="28">
        <v>19.399999999999999</v>
      </c>
      <c r="M31" s="26"/>
      <c r="N31" s="23"/>
      <c r="O31" s="27">
        <f t="shared" si="1"/>
        <v>-1</v>
      </c>
      <c r="P31" s="22"/>
      <c r="Q31" s="22"/>
      <c r="R31" s="28">
        <v>17.899999999999999</v>
      </c>
      <c r="S31" s="8"/>
    </row>
    <row r="32" spans="2:19">
      <c r="B32" s="7"/>
      <c r="C32" s="7"/>
      <c r="D32" s="19">
        <f>SUM(D27:D31)</f>
        <v>103.3</v>
      </c>
      <c r="E32" s="7"/>
      <c r="F32" s="19">
        <f>SUM(F27:F31)</f>
        <v>100.9</v>
      </c>
      <c r="G32" s="22"/>
      <c r="H32" s="19">
        <f>SUM(H27:H31)</f>
        <v>98.600000000000009</v>
      </c>
      <c r="I32" s="22"/>
      <c r="J32" s="19">
        <f>SUM(J27:J31)</f>
        <v>99.100000000000009</v>
      </c>
      <c r="K32" s="19"/>
      <c r="L32" s="19">
        <f>SUM(L27:L31)</f>
        <v>100.5</v>
      </c>
      <c r="M32" s="19"/>
      <c r="N32" s="23"/>
      <c r="O32" s="19">
        <f t="shared" si="1"/>
        <v>-4.6999999999999886</v>
      </c>
      <c r="P32" s="7"/>
      <c r="Q32" s="7"/>
      <c r="R32" s="19">
        <f>SUM(R27:R31)</f>
        <v>107.1</v>
      </c>
      <c r="S32" s="30"/>
    </row>
    <row r="33" spans="2:19">
      <c r="B33" s="7"/>
      <c r="C33" s="7"/>
      <c r="D33" s="7"/>
      <c r="E33" s="7"/>
      <c r="F33" s="7"/>
      <c r="G33" s="22"/>
      <c r="H33" s="7"/>
      <c r="I33" s="22"/>
      <c r="J33" s="7"/>
      <c r="K33" s="7"/>
      <c r="L33" s="7"/>
      <c r="M33" s="7"/>
      <c r="N33" s="23"/>
      <c r="O33" s="19"/>
      <c r="P33" s="7"/>
      <c r="Q33" s="7"/>
      <c r="S33" s="8"/>
    </row>
    <row r="34" spans="2:19" ht="8.4" customHeight="1">
      <c r="G34" s="31"/>
      <c r="I34" s="31"/>
      <c r="L34" s="7"/>
      <c r="N34" s="32"/>
      <c r="O34" s="33"/>
      <c r="S34" s="8"/>
    </row>
    <row r="35" spans="2:19">
      <c r="B35" s="7" t="s">
        <v>12</v>
      </c>
      <c r="C35" s="7"/>
      <c r="D35" s="19">
        <v>13.4</v>
      </c>
      <c r="E35" s="7"/>
      <c r="F35" s="19">
        <v>12.3</v>
      </c>
      <c r="G35" s="22"/>
      <c r="H35" s="19">
        <v>12.3</v>
      </c>
      <c r="I35" s="22"/>
      <c r="J35" s="19">
        <v>12.3</v>
      </c>
      <c r="K35" s="19"/>
      <c r="L35" s="19">
        <v>12.3</v>
      </c>
      <c r="M35" s="19"/>
      <c r="N35" s="23"/>
      <c r="O35" s="19">
        <f t="shared" ref="O35" si="2">+H35-D35</f>
        <v>-1.0999999999999996</v>
      </c>
      <c r="P35" s="7"/>
      <c r="Q35" s="7"/>
      <c r="R35" s="19">
        <v>10.7</v>
      </c>
      <c r="S35" s="8"/>
    </row>
    <row r="36" spans="2:19" ht="15" customHeight="1">
      <c r="B36" s="7"/>
      <c r="C36" s="7"/>
      <c r="D36" s="19"/>
      <c r="E36" s="7"/>
      <c r="F36" s="19"/>
      <c r="G36" s="22"/>
      <c r="H36" s="19"/>
      <c r="I36" s="22"/>
      <c r="J36" s="19"/>
      <c r="K36" s="19"/>
      <c r="L36" s="19"/>
      <c r="M36" s="19"/>
      <c r="N36" s="23"/>
      <c r="O36" s="19"/>
      <c r="P36" s="7"/>
      <c r="Q36" s="7"/>
      <c r="R36" s="19"/>
      <c r="S36" s="8"/>
    </row>
    <row r="37" spans="2:19">
      <c r="B37" s="7" t="s">
        <v>16</v>
      </c>
      <c r="C37" s="7"/>
      <c r="D37" s="18">
        <v>10.4</v>
      </c>
      <c r="E37" s="7"/>
      <c r="F37" s="19">
        <v>10.4</v>
      </c>
      <c r="G37" s="22"/>
      <c r="H37" s="19">
        <v>10.3</v>
      </c>
      <c r="I37" s="22"/>
      <c r="J37" s="18">
        <v>10.3</v>
      </c>
      <c r="K37" s="18"/>
      <c r="L37" s="18">
        <v>10.6</v>
      </c>
      <c r="M37" s="18"/>
      <c r="N37" s="34"/>
      <c r="O37" s="35">
        <f t="shared" ref="O37" si="3">+H37-D37</f>
        <v>-9.9999999999999645E-2</v>
      </c>
      <c r="P37" s="35"/>
      <c r="Q37" s="35"/>
      <c r="R37" s="18">
        <v>11.7</v>
      </c>
      <c r="S37" s="8"/>
    </row>
    <row r="38" spans="2:19">
      <c r="B38" s="7"/>
      <c r="C38" s="7"/>
      <c r="D38" s="18"/>
      <c r="E38" s="7"/>
      <c r="F38" s="19"/>
      <c r="G38" s="22"/>
      <c r="H38" s="19"/>
      <c r="I38" s="22"/>
      <c r="J38" s="18"/>
      <c r="K38" s="18"/>
      <c r="L38" s="18"/>
      <c r="M38" s="18"/>
      <c r="N38" s="34"/>
      <c r="O38" s="35"/>
      <c r="P38" s="35"/>
      <c r="Q38" s="35"/>
      <c r="R38" s="18"/>
      <c r="S38" s="8"/>
    </row>
    <row r="39" spans="2:19">
      <c r="B39" s="7" t="s">
        <v>114</v>
      </c>
      <c r="C39" s="7"/>
      <c r="D39" s="69">
        <v>0</v>
      </c>
      <c r="E39" s="22"/>
      <c r="F39" s="38"/>
      <c r="G39" s="22"/>
      <c r="H39" s="38"/>
      <c r="I39" s="22"/>
      <c r="J39" s="69">
        <v>0</v>
      </c>
      <c r="K39" s="18"/>
      <c r="L39" s="18">
        <v>0</v>
      </c>
      <c r="M39" s="18"/>
      <c r="N39" s="34"/>
      <c r="O39" s="35"/>
      <c r="P39" s="35"/>
      <c r="Q39" s="35"/>
      <c r="R39" s="18">
        <v>7.8</v>
      </c>
      <c r="S39" s="8"/>
    </row>
    <row r="40" spans="2:19">
      <c r="B40" s="7"/>
      <c r="C40" s="7"/>
      <c r="D40" s="18"/>
      <c r="E40" s="7"/>
      <c r="F40" s="19"/>
      <c r="G40" s="22"/>
      <c r="H40" s="19"/>
      <c r="I40" s="22"/>
      <c r="J40" s="18"/>
      <c r="K40" s="18"/>
      <c r="L40" s="18"/>
      <c r="M40" s="18"/>
      <c r="N40" s="34"/>
      <c r="O40" s="35"/>
      <c r="P40" s="35"/>
      <c r="Q40" s="35"/>
      <c r="R40" s="18"/>
      <c r="S40" s="8"/>
    </row>
    <row r="41" spans="2:19">
      <c r="B41" s="22" t="s">
        <v>82</v>
      </c>
      <c r="C41" s="22"/>
      <c r="D41" s="69">
        <v>0</v>
      </c>
      <c r="E41" s="22"/>
      <c r="F41" s="38"/>
      <c r="G41" s="22"/>
      <c r="H41" s="38"/>
      <c r="I41" s="22"/>
      <c r="J41" s="69">
        <v>0</v>
      </c>
      <c r="K41" s="69"/>
      <c r="L41" s="69">
        <v>5.6</v>
      </c>
      <c r="M41" s="69"/>
      <c r="N41" s="32"/>
      <c r="O41" s="42"/>
      <c r="P41" s="42"/>
      <c r="Q41" s="42"/>
      <c r="R41" s="69">
        <v>6.3</v>
      </c>
      <c r="S41" s="32"/>
    </row>
    <row r="42" spans="2:19">
      <c r="B42" s="22"/>
      <c r="C42" s="22"/>
      <c r="D42" s="69"/>
      <c r="E42" s="22"/>
      <c r="F42" s="38"/>
      <c r="G42" s="22"/>
      <c r="H42" s="38"/>
      <c r="I42" s="22"/>
      <c r="J42" s="69"/>
      <c r="K42" s="69"/>
      <c r="L42" s="69"/>
      <c r="M42" s="69"/>
      <c r="N42" s="32"/>
      <c r="O42" s="42"/>
      <c r="P42" s="42"/>
      <c r="Q42" s="42"/>
      <c r="R42" s="69"/>
      <c r="S42" s="32"/>
    </row>
    <row r="43" spans="2:19">
      <c r="B43" s="22" t="s">
        <v>83</v>
      </c>
      <c r="C43" s="22"/>
      <c r="D43" s="69">
        <v>0</v>
      </c>
      <c r="E43" s="22"/>
      <c r="F43" s="38"/>
      <c r="G43" s="22"/>
      <c r="H43" s="38"/>
      <c r="I43" s="22"/>
      <c r="J43" s="69">
        <v>0</v>
      </c>
      <c r="K43" s="69"/>
      <c r="L43" s="69">
        <v>0</v>
      </c>
      <c r="M43" s="69"/>
      <c r="N43" s="32"/>
      <c r="O43" s="42"/>
      <c r="P43" s="42"/>
      <c r="Q43" s="42"/>
      <c r="R43" s="69">
        <v>2</v>
      </c>
      <c r="S43" s="32"/>
    </row>
    <row r="44" spans="2:19" ht="15" customHeight="1">
      <c r="B44" s="7"/>
      <c r="C44" s="7"/>
      <c r="D44" s="35"/>
      <c r="E44" s="7"/>
      <c r="F44" s="19"/>
      <c r="G44" s="22"/>
      <c r="H44" s="19"/>
      <c r="I44" s="22"/>
      <c r="J44" s="35"/>
      <c r="K44" s="35"/>
      <c r="L44" s="35"/>
      <c r="M44" s="35"/>
      <c r="N44" s="34"/>
      <c r="O44" s="35"/>
      <c r="P44" s="35"/>
      <c r="Q44" s="35"/>
      <c r="R44" s="35"/>
      <c r="S44" s="8"/>
    </row>
    <row r="45" spans="2:19">
      <c r="B45" s="7" t="s">
        <v>14</v>
      </c>
      <c r="C45" s="7"/>
      <c r="D45" s="18">
        <v>8.1999999999999993</v>
      </c>
      <c r="E45" s="7"/>
      <c r="F45" s="19">
        <v>8</v>
      </c>
      <c r="G45" s="22"/>
      <c r="H45" s="19">
        <v>7</v>
      </c>
      <c r="I45" s="22"/>
      <c r="J45" s="18">
        <v>7</v>
      </c>
      <c r="K45" s="18"/>
      <c r="L45" s="18">
        <v>7.1</v>
      </c>
      <c r="M45" s="18"/>
      <c r="N45" s="34"/>
      <c r="O45" s="35">
        <f t="shared" ref="O45" si="4">+H45-D45</f>
        <v>-1.1999999999999993</v>
      </c>
      <c r="P45" s="35"/>
      <c r="Q45" s="35"/>
      <c r="R45" s="18">
        <v>7.7</v>
      </c>
      <c r="S45" s="8"/>
    </row>
    <row r="46" spans="2:19" ht="15" customHeight="1">
      <c r="B46" s="7"/>
      <c r="C46" s="7"/>
      <c r="D46" s="35"/>
      <c r="E46" s="7"/>
      <c r="F46" s="19"/>
      <c r="G46" s="22"/>
      <c r="H46" s="19"/>
      <c r="I46" s="22"/>
      <c r="J46" s="35"/>
      <c r="K46" s="35"/>
      <c r="L46" s="35"/>
      <c r="M46" s="35"/>
      <c r="N46" s="34"/>
      <c r="O46" s="35"/>
      <c r="P46" s="35"/>
      <c r="Q46" s="35"/>
      <c r="R46" s="35"/>
      <c r="S46" s="8"/>
    </row>
    <row r="47" spans="2:19">
      <c r="B47" s="7" t="s">
        <v>34</v>
      </c>
      <c r="C47" s="7"/>
      <c r="D47" s="18">
        <v>11.9</v>
      </c>
      <c r="E47" s="7"/>
      <c r="F47" s="19">
        <v>5.9</v>
      </c>
      <c r="G47" s="22"/>
      <c r="H47" s="19">
        <v>4.2</v>
      </c>
      <c r="I47" s="22"/>
      <c r="J47" s="18">
        <v>4.2</v>
      </c>
      <c r="K47" s="18"/>
      <c r="L47" s="18">
        <f>12.1-4.7</f>
        <v>7.3999999999999995</v>
      </c>
      <c r="M47" s="18"/>
      <c r="N47" s="34"/>
      <c r="O47" s="35">
        <f t="shared" ref="O47" si="5">+H47-D47</f>
        <v>-7.7</v>
      </c>
      <c r="P47" s="35"/>
      <c r="Q47" s="35"/>
      <c r="R47" s="18">
        <v>6</v>
      </c>
      <c r="S47" s="8"/>
    </row>
    <row r="48" spans="2:19" ht="15" customHeight="1">
      <c r="B48" s="7"/>
      <c r="C48" s="7"/>
      <c r="D48" s="35"/>
      <c r="E48" s="7"/>
      <c r="F48" s="19"/>
      <c r="G48" s="22"/>
      <c r="H48" s="19"/>
      <c r="I48" s="22"/>
      <c r="J48" s="35"/>
      <c r="K48" s="35"/>
      <c r="L48" s="35"/>
      <c r="M48" s="35"/>
      <c r="N48" s="34"/>
      <c r="O48" s="35"/>
      <c r="P48" s="35"/>
      <c r="Q48" s="35"/>
      <c r="R48" s="35"/>
      <c r="S48" s="8"/>
    </row>
    <row r="49" spans="1:19">
      <c r="B49" s="7" t="s">
        <v>15</v>
      </c>
      <c r="C49" s="7"/>
      <c r="D49" s="18">
        <v>4.2</v>
      </c>
      <c r="E49" s="7"/>
      <c r="F49" s="19">
        <v>4.5</v>
      </c>
      <c r="G49" s="22"/>
      <c r="H49" s="19">
        <v>0.5</v>
      </c>
      <c r="I49" s="22"/>
      <c r="J49" s="18">
        <v>0.5</v>
      </c>
      <c r="K49" s="18"/>
      <c r="L49" s="18">
        <v>2.6</v>
      </c>
      <c r="M49" s="18"/>
      <c r="N49" s="34"/>
      <c r="O49" s="35">
        <f t="shared" ref="O49" si="6">+H49-D49</f>
        <v>-3.7</v>
      </c>
      <c r="P49" s="35"/>
      <c r="Q49" s="35"/>
      <c r="R49" s="18">
        <v>2.4</v>
      </c>
      <c r="S49" s="8"/>
    </row>
    <row r="50" spans="1:19" ht="15" customHeight="1">
      <c r="D50" s="36"/>
      <c r="G50" s="31"/>
      <c r="I50" s="31"/>
      <c r="J50" s="36"/>
      <c r="K50" s="36"/>
      <c r="L50" s="35"/>
      <c r="M50" s="36"/>
      <c r="N50" s="37"/>
      <c r="O50" s="36"/>
      <c r="P50" s="36"/>
      <c r="Q50" s="36"/>
      <c r="R50" s="35"/>
      <c r="S50" s="8"/>
    </row>
    <row r="51" spans="1:19" s="90" customFormat="1">
      <c r="B51" s="91" t="s">
        <v>18</v>
      </c>
      <c r="C51" s="91"/>
      <c r="D51" s="92">
        <v>3.6</v>
      </c>
      <c r="E51" s="91"/>
      <c r="F51" s="93">
        <v>3.4</v>
      </c>
      <c r="G51" s="94"/>
      <c r="H51" s="93">
        <v>3.8</v>
      </c>
      <c r="I51" s="94"/>
      <c r="J51" s="92">
        <v>3.8</v>
      </c>
      <c r="K51" s="92"/>
      <c r="L51" s="92">
        <f>4.6-0.2</f>
        <v>4.3999999999999995</v>
      </c>
      <c r="M51" s="92"/>
      <c r="N51" s="95"/>
      <c r="O51" s="96">
        <f t="shared" ref="O51:O52" si="7">+H51-D51</f>
        <v>0.19999999999999973</v>
      </c>
      <c r="P51" s="97"/>
      <c r="Q51" s="97"/>
      <c r="R51" s="92">
        <v>5</v>
      </c>
      <c r="S51" s="98"/>
    </row>
    <row r="52" spans="1:19" s="99" customFormat="1" ht="21" customHeight="1">
      <c r="B52" s="100"/>
      <c r="C52" s="100"/>
      <c r="D52" s="101">
        <f>SUM(D35:D51)</f>
        <v>51.7</v>
      </c>
      <c r="E52" s="100"/>
      <c r="F52" s="102">
        <f>SUM(F35:F51)</f>
        <v>44.5</v>
      </c>
      <c r="G52" s="103"/>
      <c r="H52" s="102">
        <f>SUM(H35:H51)</f>
        <v>38.1</v>
      </c>
      <c r="I52" s="103"/>
      <c r="J52" s="101">
        <f>SUM(J35:J51)</f>
        <v>38.1</v>
      </c>
      <c r="K52" s="102"/>
      <c r="L52" s="101">
        <f>SUM(L35:L51)</f>
        <v>50</v>
      </c>
      <c r="M52" s="102"/>
      <c r="N52" s="104"/>
      <c r="O52" s="105">
        <f t="shared" si="7"/>
        <v>-13.600000000000001</v>
      </c>
      <c r="P52" s="100"/>
      <c r="Q52" s="100"/>
      <c r="R52" s="101">
        <f>SUM(R35:R51)</f>
        <v>59.6</v>
      </c>
      <c r="S52" s="106"/>
    </row>
    <row r="53" spans="1:19" ht="12.6" customHeight="1">
      <c r="B53" s="7"/>
      <c r="C53" s="7"/>
      <c r="D53" s="7"/>
      <c r="E53" s="7"/>
      <c r="F53" s="7"/>
      <c r="G53" s="22"/>
      <c r="H53" s="7"/>
      <c r="I53" s="22"/>
      <c r="J53" s="7"/>
      <c r="K53" s="7"/>
      <c r="L53" s="7"/>
      <c r="M53" s="7"/>
      <c r="N53" s="23"/>
      <c r="O53" s="19"/>
      <c r="P53" s="7"/>
      <c r="Q53" s="7"/>
      <c r="S53" s="8"/>
    </row>
    <row r="54" spans="1:19" ht="18" thickBot="1">
      <c r="B54" s="7" t="s">
        <v>13</v>
      </c>
      <c r="C54" s="7"/>
      <c r="D54" s="39">
        <f>+D52+D32+D22</f>
        <v>348.9</v>
      </c>
      <c r="E54" s="7"/>
      <c r="F54" s="39">
        <f>+F52+F32+F22</f>
        <v>345.70000000000005</v>
      </c>
      <c r="G54" s="22"/>
      <c r="H54" s="39">
        <f>+H52+H32+H22</f>
        <v>337</v>
      </c>
      <c r="I54" s="22"/>
      <c r="J54" s="39">
        <f>+J52+J32+J22</f>
        <v>336.5</v>
      </c>
      <c r="K54" s="38"/>
      <c r="L54" s="39">
        <f>+L52+L32+L22</f>
        <v>353.69999999999993</v>
      </c>
      <c r="M54" s="38"/>
      <c r="N54" s="23"/>
      <c r="O54" s="19">
        <f t="shared" ref="O54" si="8">+H54-D54</f>
        <v>-11.899999999999977</v>
      </c>
      <c r="P54" s="7"/>
      <c r="Q54" s="7"/>
      <c r="R54" s="39">
        <f>+R52+R32+R22</f>
        <v>384.5</v>
      </c>
      <c r="S54" s="8"/>
    </row>
    <row r="55" spans="1:19" ht="10.199999999999999" customHeight="1" thickTop="1">
      <c r="N55" s="8"/>
      <c r="S55" s="8"/>
    </row>
    <row r="56" spans="1:19" ht="9" customHeight="1">
      <c r="N56" s="8"/>
      <c r="O56" s="9"/>
      <c r="P56" s="8"/>
      <c r="Q56" s="8"/>
      <c r="R56" s="10"/>
      <c r="S56" s="10">
        <v>5</v>
      </c>
    </row>
    <row r="57" spans="1:19" ht="13.2" customHeight="1">
      <c r="A57" s="40"/>
      <c r="B57" s="41"/>
      <c r="R57" s="126"/>
    </row>
    <row r="58" spans="1:19" ht="13.8" customHeight="1">
      <c r="A58" s="68"/>
      <c r="L58" s="36"/>
      <c r="R58" s="127"/>
    </row>
    <row r="59" spans="1:19">
      <c r="L59" s="36"/>
    </row>
  </sheetData>
  <mergeCells count="3">
    <mergeCell ref="A2:S2"/>
    <mergeCell ref="Q5:R5"/>
    <mergeCell ref="Q6:R6"/>
  </mergeCells>
  <pageMargins left="0" right="0" top="0.39" bottom="0.16" header="0.21" footer="0.23"/>
  <pageSetup scale="73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opLeftCell="A4" workbookViewId="0">
      <selection activeCell="K5" sqref="K5:N15"/>
    </sheetView>
  </sheetViews>
  <sheetFormatPr defaultColWidth="8.88671875" defaultRowHeight="14.4"/>
  <cols>
    <col min="1" max="1" width="10.77734375" style="1" customWidth="1"/>
    <col min="2" max="2" width="11.109375" style="1" bestFit="1" customWidth="1"/>
    <col min="3" max="3" width="3.44140625" style="1" customWidth="1"/>
    <col min="4" max="4" width="26.109375" style="1" bestFit="1" customWidth="1"/>
    <col min="5" max="5" width="11.21875" style="1" customWidth="1"/>
    <col min="6" max="6" width="3.21875" style="1" customWidth="1"/>
    <col min="7" max="7" width="12.109375" style="1" customWidth="1"/>
    <col min="8" max="8" width="3.109375" style="1" customWidth="1"/>
    <col min="9" max="9" width="22.6640625" style="1" customWidth="1"/>
    <col min="10" max="10" width="9.109375" style="1" bestFit="1" customWidth="1"/>
    <col min="11" max="11" width="11.109375" style="1" bestFit="1" customWidth="1"/>
    <col min="12" max="16384" width="8.88671875" style="1"/>
  </cols>
  <sheetData>
    <row r="1" spans="1:14">
      <c r="D1" s="43"/>
      <c r="E1" s="43"/>
      <c r="F1" s="43"/>
    </row>
    <row r="2" spans="1:14">
      <c r="A2" s="43"/>
      <c r="B2" s="43"/>
      <c r="C2" s="43"/>
      <c r="D2" s="43"/>
      <c r="E2" s="43"/>
      <c r="F2" s="43"/>
    </row>
    <row r="3" spans="1:14">
      <c r="A3" s="43"/>
      <c r="B3" s="43"/>
      <c r="C3" s="43"/>
      <c r="D3" s="43"/>
      <c r="E3" s="43"/>
      <c r="F3" s="43"/>
      <c r="I3" s="4"/>
    </row>
    <row r="4" spans="1:14">
      <c r="A4" s="43"/>
      <c r="B4" s="2" t="s">
        <v>41</v>
      </c>
      <c r="C4" s="2"/>
      <c r="E4" s="43"/>
      <c r="F4" s="43"/>
      <c r="G4" s="2" t="s">
        <v>41</v>
      </c>
      <c r="K4" s="124" t="s">
        <v>112</v>
      </c>
    </row>
    <row r="5" spans="1:14">
      <c r="A5" s="43"/>
      <c r="B5" s="3" t="s">
        <v>38</v>
      </c>
      <c r="C5" s="3"/>
      <c r="G5" s="3" t="s">
        <v>38</v>
      </c>
      <c r="I5" s="4" t="s">
        <v>106</v>
      </c>
      <c r="K5" s="122">
        <v>381417405</v>
      </c>
      <c r="L5" s="107"/>
      <c r="M5" s="107"/>
      <c r="N5" s="74"/>
    </row>
    <row r="6" spans="1:14">
      <c r="A6" s="71">
        <v>42151</v>
      </c>
      <c r="B6" s="4">
        <v>381098758</v>
      </c>
      <c r="C6" s="4"/>
      <c r="D6" s="1" t="s">
        <v>42</v>
      </c>
      <c r="G6" s="4">
        <v>381417405</v>
      </c>
      <c r="I6" s="1" t="s">
        <v>42</v>
      </c>
      <c r="K6" s="73">
        <v>-4416758</v>
      </c>
      <c r="L6" s="43" t="s">
        <v>107</v>
      </c>
      <c r="M6" s="43"/>
      <c r="N6" s="76"/>
    </row>
    <row r="7" spans="1:14">
      <c r="A7" s="43"/>
      <c r="B7" s="1">
        <v>-2600000</v>
      </c>
      <c r="D7" s="1" t="s">
        <v>43</v>
      </c>
      <c r="G7" s="1">
        <f>-2600000-850000</f>
        <v>-3450000</v>
      </c>
      <c r="I7" s="1" t="s">
        <v>43</v>
      </c>
      <c r="K7" s="75">
        <v>-2114336</v>
      </c>
      <c r="L7" s="43" t="s">
        <v>108</v>
      </c>
      <c r="M7" s="43"/>
      <c r="N7" s="76"/>
    </row>
    <row r="8" spans="1:14">
      <c r="A8" s="43"/>
      <c r="B8" s="1">
        <v>-7500000</v>
      </c>
      <c r="D8" s="1" t="s">
        <v>44</v>
      </c>
      <c r="G8" s="1">
        <v>-4500000</v>
      </c>
      <c r="I8" s="1" t="s">
        <v>44</v>
      </c>
      <c r="K8" s="75">
        <v>-185715</v>
      </c>
      <c r="L8" s="43" t="s">
        <v>109</v>
      </c>
      <c r="M8" s="43"/>
      <c r="N8" s="76"/>
    </row>
    <row r="9" spans="1:14">
      <c r="A9" s="43"/>
      <c r="B9" s="1">
        <v>-180000</v>
      </c>
      <c r="D9" s="1" t="s">
        <v>45</v>
      </c>
      <c r="G9" s="1">
        <v>-180000</v>
      </c>
      <c r="I9" s="1" t="s">
        <v>45</v>
      </c>
      <c r="K9" s="75"/>
      <c r="L9" s="43"/>
      <c r="M9" s="43"/>
      <c r="N9" s="76"/>
    </row>
    <row r="10" spans="1:14">
      <c r="A10" s="43"/>
      <c r="B10" s="1">
        <v>-270000</v>
      </c>
      <c r="D10" s="1" t="s">
        <v>3</v>
      </c>
      <c r="G10" s="1">
        <f>-270000-107087</f>
        <v>-377087</v>
      </c>
      <c r="I10" s="1" t="s">
        <v>3</v>
      </c>
      <c r="K10" s="75">
        <v>-4500000</v>
      </c>
      <c r="L10" s="43" t="s">
        <v>110</v>
      </c>
      <c r="M10" s="43"/>
      <c r="N10" s="76"/>
    </row>
    <row r="11" spans="1:14">
      <c r="A11" s="43"/>
      <c r="B11" s="1">
        <v>-500000</v>
      </c>
      <c r="D11" s="1" t="s">
        <v>84</v>
      </c>
      <c r="K11" s="75">
        <v>-1523500</v>
      </c>
      <c r="L11" s="43" t="s">
        <v>111</v>
      </c>
      <c r="M11" s="43"/>
      <c r="N11" s="76"/>
    </row>
    <row r="12" spans="1:14">
      <c r="A12" s="43"/>
      <c r="B12" s="1">
        <v>-57487</v>
      </c>
      <c r="D12" s="1" t="s">
        <v>46</v>
      </c>
      <c r="G12" s="1">
        <f>-57487-125000</f>
        <v>-182487</v>
      </c>
      <c r="I12" s="1" t="s">
        <v>46</v>
      </c>
      <c r="K12" s="116"/>
      <c r="L12" s="43"/>
      <c r="M12" s="43"/>
      <c r="N12" s="76"/>
    </row>
    <row r="13" spans="1:14">
      <c r="A13" s="43"/>
      <c r="B13" s="1">
        <v>-1565000</v>
      </c>
      <c r="D13" s="1" t="s">
        <v>47</v>
      </c>
      <c r="G13" s="1">
        <f>-1000000-300000-223500</f>
        <v>-1523500</v>
      </c>
      <c r="I13" s="1" t="s">
        <v>47</v>
      </c>
      <c r="K13" s="123">
        <f>SUM(K5:K11)</f>
        <v>368677096</v>
      </c>
      <c r="L13" s="110"/>
      <c r="M13" s="110"/>
      <c r="N13" s="112"/>
    </row>
    <row r="14" spans="1:14">
      <c r="A14" s="43"/>
      <c r="B14" s="1">
        <v>-2100000</v>
      </c>
      <c r="D14" s="1" t="s">
        <v>48</v>
      </c>
      <c r="G14" s="43"/>
      <c r="K14" s="1">
        <f>-127280-214900-101191</f>
        <v>-443371</v>
      </c>
    </row>
    <row r="15" spans="1:14">
      <c r="A15" s="43"/>
      <c r="B15" s="72">
        <f>SUM(B6:B14)</f>
        <v>366326271</v>
      </c>
      <c r="C15" s="70"/>
      <c r="G15" s="72">
        <f>SUM(G6:G14)</f>
        <v>371204331</v>
      </c>
      <c r="K15" s="1">
        <f>+K13+K14</f>
        <v>368233725</v>
      </c>
    </row>
    <row r="16" spans="1:14">
      <c r="A16" s="43"/>
      <c r="D16" s="73" t="s">
        <v>88</v>
      </c>
      <c r="E16" s="74">
        <v>-101191</v>
      </c>
      <c r="F16" s="43"/>
    </row>
    <row r="17" spans="2:12">
      <c r="B17" s="1">
        <v>-214900</v>
      </c>
      <c r="D17" s="75" t="s">
        <v>86</v>
      </c>
      <c r="E17" s="76">
        <v>-214900</v>
      </c>
      <c r="F17" s="43"/>
    </row>
    <row r="18" spans="2:12">
      <c r="B18" s="1">
        <v>-127280</v>
      </c>
      <c r="D18" s="75" t="s">
        <v>87</v>
      </c>
      <c r="E18" s="76">
        <v>-127280</v>
      </c>
      <c r="F18" s="43"/>
    </row>
    <row r="19" spans="2:12">
      <c r="B19" s="72">
        <f>SUM(B15:B18)</f>
        <v>365984091</v>
      </c>
      <c r="D19" s="75" t="s">
        <v>6</v>
      </c>
      <c r="E19" s="76">
        <v>-10000</v>
      </c>
      <c r="F19" s="70"/>
      <c r="G19" s="4"/>
    </row>
    <row r="20" spans="2:12">
      <c r="D20" s="77" t="s">
        <v>89</v>
      </c>
      <c r="E20" s="78">
        <f>SUM(E16:E19)</f>
        <v>-453371</v>
      </c>
    </row>
    <row r="21" spans="2:12">
      <c r="B21" s="1">
        <v>-1200000</v>
      </c>
      <c r="D21" s="1" t="s">
        <v>90</v>
      </c>
    </row>
    <row r="22" spans="2:12">
      <c r="B22" s="1">
        <f>SUM(B19:B21)</f>
        <v>364784091</v>
      </c>
      <c r="G22" s="72">
        <f>SUM(G15:G21)</f>
        <v>371204331</v>
      </c>
    </row>
    <row r="23" spans="2:12">
      <c r="B23" s="1">
        <v>364700000</v>
      </c>
      <c r="G23" s="4"/>
    </row>
    <row r="24" spans="2:12">
      <c r="B24" s="4"/>
      <c r="C24" s="4"/>
      <c r="D24" s="4"/>
      <c r="G24" s="114" t="s">
        <v>103</v>
      </c>
      <c r="H24" s="107"/>
      <c r="I24" s="107"/>
      <c r="J24" s="107"/>
      <c r="K24" s="107"/>
      <c r="L24" s="74"/>
    </row>
    <row r="25" spans="2:12">
      <c r="G25" s="113" t="s">
        <v>104</v>
      </c>
      <c r="H25" s="43"/>
      <c r="I25" s="43"/>
      <c r="J25" s="108" t="s">
        <v>99</v>
      </c>
      <c r="K25" s="108" t="s">
        <v>101</v>
      </c>
      <c r="L25" s="109" t="s">
        <v>102</v>
      </c>
    </row>
    <row r="26" spans="2:12">
      <c r="G26" s="73">
        <f>+J26/3</f>
        <v>866666.66666666663</v>
      </c>
      <c r="H26" s="43"/>
      <c r="I26" s="43" t="s">
        <v>105</v>
      </c>
      <c r="J26" s="107">
        <v>2600000</v>
      </c>
      <c r="K26" s="118">
        <v>850000</v>
      </c>
      <c r="L26" s="119">
        <f>+J26+K26</f>
        <v>3450000</v>
      </c>
    </row>
    <row r="27" spans="2:12">
      <c r="G27" s="75">
        <f t="shared" ref="G27:G32" si="0">+J27/3</f>
        <v>19162.333333333332</v>
      </c>
      <c r="H27" s="43"/>
      <c r="I27" s="43" t="s">
        <v>6</v>
      </c>
      <c r="J27" s="43">
        <v>57487</v>
      </c>
      <c r="K27" s="120">
        <v>125000</v>
      </c>
      <c r="L27" s="121">
        <f>+J27+K27</f>
        <v>182487</v>
      </c>
    </row>
    <row r="28" spans="2:12">
      <c r="G28" s="75">
        <f t="shared" si="0"/>
        <v>71750</v>
      </c>
      <c r="H28" s="43"/>
      <c r="I28" s="43" t="s">
        <v>5</v>
      </c>
      <c r="J28" s="43">
        <v>215250</v>
      </c>
      <c r="K28" s="120">
        <v>72430</v>
      </c>
      <c r="L28" s="121">
        <v>287680</v>
      </c>
    </row>
    <row r="29" spans="2:12">
      <c r="G29" s="75">
        <f t="shared" si="0"/>
        <v>90000</v>
      </c>
      <c r="H29" s="43"/>
      <c r="I29" s="43" t="s">
        <v>3</v>
      </c>
      <c r="J29" s="43">
        <v>270000</v>
      </c>
      <c r="K29" s="120">
        <v>107087</v>
      </c>
      <c r="L29" s="121">
        <v>377081</v>
      </c>
    </row>
    <row r="30" spans="2:12">
      <c r="G30" s="75">
        <f t="shared" si="0"/>
        <v>60000</v>
      </c>
      <c r="H30" s="43"/>
      <c r="I30" s="43" t="s">
        <v>4</v>
      </c>
      <c r="J30" s="43">
        <v>180000</v>
      </c>
      <c r="K30" s="120">
        <v>0</v>
      </c>
      <c r="L30" s="121">
        <v>0</v>
      </c>
    </row>
    <row r="31" spans="2:12">
      <c r="G31" s="75">
        <f t="shared" si="0"/>
        <v>17588.333333333332</v>
      </c>
      <c r="H31" s="43"/>
      <c r="I31" s="43" t="s">
        <v>48</v>
      </c>
      <c r="J31" s="43">
        <v>52765</v>
      </c>
      <c r="K31" s="120">
        <v>0</v>
      </c>
      <c r="L31" s="121">
        <v>0</v>
      </c>
    </row>
    <row r="32" spans="2:12">
      <c r="G32" s="75">
        <f t="shared" si="0"/>
        <v>29877</v>
      </c>
      <c r="H32" s="43"/>
      <c r="I32" s="43" t="s">
        <v>100</v>
      </c>
      <c r="J32" s="43">
        <v>89631</v>
      </c>
      <c r="K32" s="120">
        <v>29879</v>
      </c>
      <c r="L32" s="121">
        <f>+J32+K32</f>
        <v>119510</v>
      </c>
    </row>
    <row r="33" spans="7:12">
      <c r="G33" s="115">
        <f>SUM(G26:G32)</f>
        <v>1155044.3333333333</v>
      </c>
      <c r="H33" s="43"/>
      <c r="I33" s="43"/>
      <c r="J33" s="70">
        <f>SUM(J26:J32)</f>
        <v>3465133</v>
      </c>
      <c r="K33" s="43"/>
      <c r="L33" s="117">
        <f>SUM(L26:L32)</f>
        <v>4416758</v>
      </c>
    </row>
    <row r="34" spans="7:12">
      <c r="G34" s="116">
        <f>+G33+J33</f>
        <v>4620177.333333333</v>
      </c>
      <c r="H34" s="110"/>
      <c r="I34" s="110"/>
      <c r="J34" s="111"/>
      <c r="K34" s="110"/>
      <c r="L34" s="112"/>
    </row>
  </sheetData>
  <pageMargins left="0.25" right="0.25" top="0.86" bottom="0.46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>
      <selection activeCell="O8" sqref="O8"/>
    </sheetView>
  </sheetViews>
  <sheetFormatPr defaultColWidth="8.88671875" defaultRowHeight="13.2" customHeight="1"/>
  <cols>
    <col min="1" max="1" width="23.44140625" style="44" bestFit="1" customWidth="1"/>
    <col min="2" max="2" width="3.109375" style="44" customWidth="1"/>
    <col min="3" max="3" width="23.5546875" style="44" customWidth="1"/>
    <col min="4" max="4" width="1.5546875" style="44" customWidth="1"/>
    <col min="5" max="5" width="9.88671875" style="48" hidden="1" customWidth="1"/>
    <col min="6" max="6" width="8.6640625" style="48" hidden="1" customWidth="1"/>
    <col min="7" max="7" width="9.88671875" style="48" hidden="1" customWidth="1"/>
    <col min="8" max="8" width="2.109375" style="48" hidden="1" customWidth="1"/>
    <col min="9" max="9" width="0" style="49" hidden="1" customWidth="1"/>
    <col min="10" max="10" width="9.88671875" style="48" bestFit="1" customWidth="1"/>
    <col min="11" max="11" width="9.88671875" style="48" customWidth="1"/>
    <col min="12" max="12" width="8.109375" style="48" customWidth="1"/>
    <col min="13" max="13" width="7.5546875" style="48" bestFit="1" customWidth="1"/>
    <col min="14" max="14" width="8.33203125" style="48" bestFit="1" customWidth="1"/>
    <col min="15" max="15" width="8.88671875" style="44"/>
    <col min="16" max="16" width="8.88671875" style="49"/>
    <col min="17" max="17" width="8.88671875" style="48"/>
    <col min="18" max="16384" width="8.88671875" style="44"/>
  </cols>
  <sheetData>
    <row r="1" spans="1:18" ht="40.799999999999997">
      <c r="C1" s="45" t="s">
        <v>1</v>
      </c>
      <c r="D1" s="45"/>
      <c r="E1" s="46" t="s">
        <v>49</v>
      </c>
      <c r="F1" s="47" t="s">
        <v>50</v>
      </c>
      <c r="J1" s="46" t="s">
        <v>51</v>
      </c>
      <c r="K1" s="46" t="s">
        <v>92</v>
      </c>
      <c r="L1" s="46" t="s">
        <v>94</v>
      </c>
      <c r="M1" s="47" t="s">
        <v>52</v>
      </c>
      <c r="N1" s="47" t="s">
        <v>53</v>
      </c>
    </row>
    <row r="2" spans="1:18" ht="12.6" customHeight="1">
      <c r="A2" s="50" t="s">
        <v>91</v>
      </c>
      <c r="B2" s="50"/>
      <c r="C2" s="51" t="s">
        <v>54</v>
      </c>
      <c r="D2" s="52"/>
      <c r="E2" s="53">
        <v>14595690</v>
      </c>
      <c r="G2" s="48">
        <f t="shared" ref="G2:G12" si="0">SUM(E2:F2)</f>
        <v>14595690</v>
      </c>
      <c r="I2" s="49">
        <f t="shared" ref="I2:I12" si="1">+G2/1000000</f>
        <v>14.595689999999999</v>
      </c>
      <c r="J2" s="53">
        <v>14752029</v>
      </c>
      <c r="K2" s="53">
        <v>-1444942</v>
      </c>
      <c r="L2" s="53"/>
      <c r="O2" s="48">
        <f t="shared" ref="O2:O6" si="2">SUM(J2:N2)</f>
        <v>13307087</v>
      </c>
      <c r="P2" s="81">
        <f>+O2/1000000</f>
        <v>13.307086999999999</v>
      </c>
      <c r="R2" s="48"/>
    </row>
    <row r="3" spans="1:18" ht="12.6" customHeight="1">
      <c r="A3" s="50" t="s">
        <v>55</v>
      </c>
      <c r="B3" s="50"/>
      <c r="C3" s="52" t="s">
        <v>56</v>
      </c>
      <c r="D3" s="52"/>
      <c r="E3" s="53">
        <v>8684541</v>
      </c>
      <c r="F3" s="48">
        <v>-55000</v>
      </c>
      <c r="G3" s="48">
        <f t="shared" si="0"/>
        <v>8629541</v>
      </c>
      <c r="I3" s="49">
        <f t="shared" si="1"/>
        <v>8.6295409999999997</v>
      </c>
      <c r="J3" s="53">
        <v>8951545</v>
      </c>
      <c r="K3" s="53">
        <v>-958348</v>
      </c>
      <c r="L3" s="53"/>
      <c r="O3" s="48">
        <f t="shared" si="2"/>
        <v>7993197</v>
      </c>
      <c r="P3" s="81">
        <f t="shared" ref="P3:P12" si="3">+O3/1000000</f>
        <v>7.9931970000000003</v>
      </c>
      <c r="R3" s="48"/>
    </row>
    <row r="4" spans="1:18" ht="12.6" customHeight="1">
      <c r="A4" s="50" t="s">
        <v>57</v>
      </c>
      <c r="B4" s="50"/>
      <c r="C4" s="52" t="s">
        <v>58</v>
      </c>
      <c r="D4" s="52"/>
      <c r="E4" s="53">
        <v>9462660</v>
      </c>
      <c r="F4" s="48">
        <v>-180000</v>
      </c>
      <c r="G4" s="48">
        <f t="shared" si="0"/>
        <v>9282660</v>
      </c>
      <c r="I4" s="49">
        <f t="shared" si="1"/>
        <v>9.2826599999999999</v>
      </c>
      <c r="J4" s="53">
        <v>9027612</v>
      </c>
      <c r="K4" s="53">
        <v>-1896634</v>
      </c>
      <c r="L4" s="53"/>
      <c r="O4" s="48">
        <f t="shared" si="2"/>
        <v>7130978</v>
      </c>
      <c r="P4" s="81">
        <f t="shared" si="3"/>
        <v>7.1309779999999998</v>
      </c>
      <c r="R4" s="48"/>
    </row>
    <row r="5" spans="1:18" ht="12.6" customHeight="1">
      <c r="C5" s="52" t="s">
        <v>59</v>
      </c>
      <c r="D5" s="52"/>
      <c r="E5" s="53">
        <v>7517162</v>
      </c>
      <c r="G5" s="48">
        <f t="shared" si="0"/>
        <v>7517162</v>
      </c>
      <c r="I5" s="49">
        <f t="shared" si="1"/>
        <v>7.5171619999999999</v>
      </c>
      <c r="J5" s="53">
        <v>9675239</v>
      </c>
      <c r="K5" s="53">
        <v>-778323</v>
      </c>
      <c r="L5" s="53"/>
      <c r="O5" s="48">
        <f t="shared" si="2"/>
        <v>8896916</v>
      </c>
      <c r="P5" s="81">
        <f t="shared" si="3"/>
        <v>8.8969159999999992</v>
      </c>
      <c r="R5" s="48"/>
    </row>
    <row r="6" spans="1:18" ht="12.6" customHeight="1">
      <c r="C6" s="52" t="s">
        <v>60</v>
      </c>
      <c r="D6" s="52"/>
      <c r="E6" s="53">
        <v>154210043</v>
      </c>
      <c r="F6" s="48">
        <v>-1900000</v>
      </c>
      <c r="G6" s="48">
        <f t="shared" si="0"/>
        <v>152310043</v>
      </c>
      <c r="I6" s="49">
        <f t="shared" si="1"/>
        <v>152.31004300000001</v>
      </c>
      <c r="J6" s="53">
        <v>165564604</v>
      </c>
      <c r="K6" s="53">
        <v>-5407468</v>
      </c>
      <c r="L6" s="53"/>
      <c r="N6" s="48">
        <v>-4500000</v>
      </c>
      <c r="O6" s="48">
        <f t="shared" si="2"/>
        <v>155657136</v>
      </c>
      <c r="P6" s="81">
        <f t="shared" si="3"/>
        <v>155.65713600000001</v>
      </c>
    </row>
    <row r="7" spans="1:18" ht="12.6" customHeight="1">
      <c r="A7" s="44" t="s">
        <v>95</v>
      </c>
      <c r="C7" s="52" t="s">
        <v>61</v>
      </c>
      <c r="D7" s="52"/>
      <c r="E7" s="53">
        <v>1485839</v>
      </c>
      <c r="G7" s="48">
        <f t="shared" si="0"/>
        <v>1485839</v>
      </c>
      <c r="I7" s="49">
        <f t="shared" si="1"/>
        <v>1.4858389999999999</v>
      </c>
      <c r="J7" s="53">
        <f>6700000+1532355</f>
        <v>8232355</v>
      </c>
      <c r="K7" s="53"/>
      <c r="L7" s="53"/>
      <c r="O7" s="48">
        <f>SUM(J7:N7)</f>
        <v>8232355</v>
      </c>
      <c r="P7" s="81">
        <f t="shared" si="3"/>
        <v>8.2323550000000001</v>
      </c>
      <c r="R7" s="48"/>
    </row>
    <row r="8" spans="1:18" ht="12.6" customHeight="1">
      <c r="C8" s="52" t="s">
        <v>62</v>
      </c>
      <c r="D8" s="52"/>
      <c r="E8" s="53">
        <v>686467</v>
      </c>
      <c r="G8" s="48">
        <f t="shared" si="0"/>
        <v>686467</v>
      </c>
      <c r="I8" s="49">
        <f t="shared" si="1"/>
        <v>0.68646700000000005</v>
      </c>
      <c r="J8" s="53">
        <v>875731</v>
      </c>
      <c r="K8" s="53"/>
      <c r="L8" s="53"/>
      <c r="O8" s="48">
        <f t="shared" ref="O8:O12" si="4">SUM(J8:N8)</f>
        <v>875731</v>
      </c>
      <c r="P8" s="81">
        <f t="shared" si="3"/>
        <v>0.87573100000000004</v>
      </c>
    </row>
    <row r="9" spans="1:18" ht="12.6" customHeight="1">
      <c r="C9" s="52" t="s">
        <v>63</v>
      </c>
      <c r="D9" s="52"/>
      <c r="E9" s="53">
        <v>968258</v>
      </c>
      <c r="G9" s="48">
        <f t="shared" si="0"/>
        <v>968258</v>
      </c>
      <c r="I9" s="49">
        <f t="shared" si="1"/>
        <v>0.96825799999999995</v>
      </c>
      <c r="J9" s="53">
        <v>1187371</v>
      </c>
      <c r="K9" s="53"/>
      <c r="L9" s="53"/>
      <c r="O9" s="48">
        <f t="shared" si="4"/>
        <v>1187371</v>
      </c>
      <c r="P9" s="81">
        <f t="shared" si="3"/>
        <v>1.187371</v>
      </c>
    </row>
    <row r="10" spans="1:18" ht="12.6" customHeight="1">
      <c r="C10" s="52" t="s">
        <v>64</v>
      </c>
      <c r="D10" s="52"/>
      <c r="E10" s="53">
        <v>2897486</v>
      </c>
      <c r="G10" s="48">
        <f t="shared" si="0"/>
        <v>2897486</v>
      </c>
      <c r="I10" s="49">
        <f t="shared" si="1"/>
        <v>2.8974859999999998</v>
      </c>
      <c r="J10" s="53">
        <v>3424009</v>
      </c>
      <c r="K10" s="53"/>
      <c r="L10" s="53"/>
      <c r="O10" s="48">
        <f t="shared" si="4"/>
        <v>3424009</v>
      </c>
      <c r="P10" s="81">
        <f t="shared" si="3"/>
        <v>3.4240089999999999</v>
      </c>
    </row>
    <row r="11" spans="1:18" ht="12.6" customHeight="1">
      <c r="C11" s="52" t="s">
        <v>85</v>
      </c>
      <c r="D11" s="52"/>
      <c r="E11" s="53"/>
      <c r="J11" s="53">
        <v>546453</v>
      </c>
      <c r="K11" s="53"/>
      <c r="L11" s="53"/>
      <c r="O11" s="48">
        <f t="shared" si="4"/>
        <v>546453</v>
      </c>
      <c r="P11" s="81">
        <f t="shared" si="3"/>
        <v>0.54645299999999997</v>
      </c>
    </row>
    <row r="12" spans="1:18" ht="12.6" customHeight="1">
      <c r="C12" s="52" t="s">
        <v>65</v>
      </c>
      <c r="D12" s="52"/>
      <c r="E12" s="53">
        <v>216332</v>
      </c>
      <c r="G12" s="48">
        <f t="shared" si="0"/>
        <v>216332</v>
      </c>
      <c r="I12" s="49">
        <f t="shared" si="1"/>
        <v>0.216332</v>
      </c>
      <c r="J12" s="53">
        <v>226418</v>
      </c>
      <c r="K12" s="53"/>
      <c r="L12" s="53"/>
      <c r="O12" s="48">
        <f t="shared" si="4"/>
        <v>226418</v>
      </c>
      <c r="P12" s="81">
        <f t="shared" si="3"/>
        <v>0.22641800000000001</v>
      </c>
    </row>
    <row r="13" spans="1:18" ht="12.6" customHeight="1">
      <c r="C13" s="54" t="s">
        <v>66</v>
      </c>
      <c r="D13" s="54"/>
      <c r="E13" s="55">
        <f>SUM(E2:E12)</f>
        <v>200724478</v>
      </c>
      <c r="G13" s="56">
        <f>SUM(G2:G12)</f>
        <v>198589478</v>
      </c>
      <c r="I13" s="57">
        <f t="shared" ref="I13:P13" si="5">SUM(I2:I12)</f>
        <v>198.58947799999999</v>
      </c>
      <c r="J13" s="55">
        <f t="shared" si="5"/>
        <v>222463366</v>
      </c>
      <c r="K13" s="55">
        <f t="shared" si="5"/>
        <v>-10485715</v>
      </c>
      <c r="L13" s="55">
        <f t="shared" si="5"/>
        <v>0</v>
      </c>
      <c r="M13" s="62">
        <f t="shared" si="5"/>
        <v>0</v>
      </c>
      <c r="N13" s="62">
        <f t="shared" si="5"/>
        <v>-4500000</v>
      </c>
      <c r="O13" s="55">
        <f t="shared" si="5"/>
        <v>207477651</v>
      </c>
      <c r="P13" s="83">
        <f t="shared" si="5"/>
        <v>207.47765100000007</v>
      </c>
    </row>
    <row r="14" spans="1:18" ht="8.4" customHeight="1"/>
    <row r="15" spans="1:18" ht="10.199999999999999" customHeight="1"/>
    <row r="16" spans="1:18" ht="13.2" customHeight="1">
      <c r="E16" s="56">
        <f>SUM(E13:E14)</f>
        <v>200724478</v>
      </c>
      <c r="G16" s="56">
        <f>SUM(G13:G14)</f>
        <v>198589478</v>
      </c>
      <c r="I16" s="59">
        <f>SUM(I13:I14)</f>
        <v>198.58947799999999</v>
      </c>
      <c r="J16" s="56">
        <f>SUM(J13:J14)</f>
        <v>222463366</v>
      </c>
      <c r="K16" s="79"/>
      <c r="L16" s="79"/>
      <c r="O16" s="58">
        <f>SUM(O13:O14)</f>
        <v>207477651</v>
      </c>
    </row>
    <row r="17" spans="1:17" ht="13.2" customHeight="1">
      <c r="E17" s="79"/>
      <c r="G17" s="79"/>
      <c r="I17" s="82"/>
      <c r="J17" s="79"/>
      <c r="K17" s="79"/>
      <c r="L17" s="79"/>
      <c r="O17" s="58">
        <f>-K13</f>
        <v>10485715</v>
      </c>
      <c r="P17" s="49">
        <v>10.4</v>
      </c>
    </row>
    <row r="18" spans="1:17" ht="13.2" customHeight="1">
      <c r="O18" s="62">
        <f>+O16-K13</f>
        <v>217963366</v>
      </c>
      <c r="P18" s="59">
        <f>+P13+P17</f>
        <v>217.87765100000007</v>
      </c>
    </row>
    <row r="19" spans="1:17" ht="13.2" customHeight="1">
      <c r="C19" s="60" t="s">
        <v>67</v>
      </c>
      <c r="D19" s="61"/>
    </row>
    <row r="21" spans="1:17" ht="13.2" customHeight="1">
      <c r="A21" s="50" t="s">
        <v>68</v>
      </c>
      <c r="B21" s="50"/>
      <c r="C21" s="44" t="s">
        <v>8</v>
      </c>
      <c r="E21" s="48">
        <v>36451571</v>
      </c>
      <c r="G21" s="48">
        <f>SUM(E21:F21)</f>
        <v>36451571</v>
      </c>
      <c r="I21" s="49">
        <f t="shared" ref="I21:I25" si="6">+G21/1000000</f>
        <v>36.451571000000001</v>
      </c>
      <c r="J21" s="48">
        <v>40112826</v>
      </c>
      <c r="P21" s="66">
        <f>+J21/1000000</f>
        <v>40.112825999999998</v>
      </c>
    </row>
    <row r="22" spans="1:17" ht="13.2" customHeight="1">
      <c r="A22" s="50" t="s">
        <v>69</v>
      </c>
      <c r="B22" s="50"/>
      <c r="C22" s="44" t="s">
        <v>9</v>
      </c>
      <c r="E22" s="48">
        <v>17871474</v>
      </c>
      <c r="G22" s="48">
        <f t="shared" ref="G22:G25" si="7">SUM(E22:F22)</f>
        <v>17871474</v>
      </c>
      <c r="I22" s="49">
        <f t="shared" si="6"/>
        <v>17.871473999999999</v>
      </c>
      <c r="J22" s="48">
        <v>18315253</v>
      </c>
      <c r="P22" s="66">
        <f t="shared" ref="P22:P25" si="8">+J22/1000000</f>
        <v>18.315252999999998</v>
      </c>
    </row>
    <row r="23" spans="1:17" ht="13.2" customHeight="1">
      <c r="A23" s="50"/>
      <c r="B23" s="50"/>
      <c r="C23" s="44" t="s">
        <v>70</v>
      </c>
      <c r="E23" s="48">
        <v>13314516</v>
      </c>
      <c r="G23" s="48">
        <f t="shared" si="7"/>
        <v>13314516</v>
      </c>
      <c r="I23" s="49">
        <f t="shared" si="6"/>
        <v>13.314515999999999</v>
      </c>
      <c r="J23" s="48">
        <v>16001319</v>
      </c>
      <c r="P23" s="66">
        <f t="shared" si="8"/>
        <v>16.001318999999999</v>
      </c>
    </row>
    <row r="24" spans="1:17" ht="13.2" customHeight="1">
      <c r="C24" s="44" t="s">
        <v>71</v>
      </c>
      <c r="E24" s="48">
        <v>12278073</v>
      </c>
      <c r="G24" s="48">
        <f t="shared" si="7"/>
        <v>12278073</v>
      </c>
      <c r="I24" s="49">
        <f t="shared" si="6"/>
        <v>12.278072999999999</v>
      </c>
      <c r="J24" s="48">
        <v>14593862</v>
      </c>
      <c r="P24" s="66">
        <f t="shared" si="8"/>
        <v>14.593862</v>
      </c>
    </row>
    <row r="25" spans="1:17" ht="13.2" customHeight="1">
      <c r="C25" s="44" t="s">
        <v>72</v>
      </c>
      <c r="E25" s="48">
        <v>19118997</v>
      </c>
      <c r="G25" s="48">
        <f t="shared" si="7"/>
        <v>19118997</v>
      </c>
      <c r="I25" s="49">
        <f t="shared" si="6"/>
        <v>19.118997</v>
      </c>
      <c r="J25" s="48">
        <f>106964452-40112826-16001319-18305626-14593862</f>
        <v>17950819</v>
      </c>
      <c r="P25" s="66">
        <f t="shared" si="8"/>
        <v>17.950818999999999</v>
      </c>
    </row>
    <row r="26" spans="1:17" ht="13.2" customHeight="1">
      <c r="E26" s="62">
        <f>SUM(E21:E25)</f>
        <v>99034631</v>
      </c>
      <c r="F26" s="58"/>
      <c r="G26" s="62">
        <f>SUM(G21:G25)</f>
        <v>99034631</v>
      </c>
      <c r="H26" s="58"/>
      <c r="I26" s="59">
        <f>SUM(I21:I25)</f>
        <v>99.034631000000019</v>
      </c>
      <c r="J26" s="62">
        <f>SUM(J21:J25)</f>
        <v>106974079</v>
      </c>
      <c r="K26" s="80"/>
      <c r="L26" s="80"/>
      <c r="P26" s="59">
        <f>SUM(P21:P25)</f>
        <v>106.97407899999999</v>
      </c>
    </row>
    <row r="27" spans="1:17" ht="13.2" customHeight="1">
      <c r="C27" s="63" t="s">
        <v>73</v>
      </c>
      <c r="D27" s="64"/>
    </row>
    <row r="28" spans="1:17" ht="13.2" customHeight="1">
      <c r="A28" s="50" t="s">
        <v>74</v>
      </c>
      <c r="B28" s="50"/>
      <c r="C28" s="44" t="s">
        <v>12</v>
      </c>
      <c r="E28" s="48">
        <v>12250001</v>
      </c>
      <c r="G28" s="48">
        <f t="shared" ref="G28:G35" si="9">SUM(E28:F28)</f>
        <v>12250001</v>
      </c>
      <c r="I28" s="49">
        <f t="shared" ref="I28:I35" si="10">+G28/1000000</f>
        <v>12.250000999999999</v>
      </c>
      <c r="J28" s="48">
        <v>10744942</v>
      </c>
      <c r="P28" s="66">
        <f t="shared" ref="P28:P35" si="11">+J28/1000000</f>
        <v>10.744942</v>
      </c>
      <c r="Q28" s="49"/>
    </row>
    <row r="29" spans="1:17" ht="13.2" customHeight="1">
      <c r="A29" s="50" t="s">
        <v>75</v>
      </c>
      <c r="B29" s="50"/>
      <c r="C29" s="44" t="s">
        <v>16</v>
      </c>
      <c r="E29" s="48">
        <v>10291384</v>
      </c>
      <c r="G29" s="48">
        <f t="shared" si="9"/>
        <v>10291384</v>
      </c>
      <c r="I29" s="49">
        <f t="shared" si="10"/>
        <v>10.291384000000001</v>
      </c>
      <c r="J29" s="125">
        <v>11713126</v>
      </c>
      <c r="P29" s="66">
        <f t="shared" si="11"/>
        <v>11.713126000000001</v>
      </c>
      <c r="Q29" s="49"/>
    </row>
    <row r="30" spans="1:17" ht="13.2" customHeight="1">
      <c r="A30" s="50" t="s">
        <v>76</v>
      </c>
      <c r="B30" s="50"/>
      <c r="C30" s="44" t="s">
        <v>77</v>
      </c>
      <c r="E30" s="48">
        <v>5557171</v>
      </c>
      <c r="G30" s="48">
        <f t="shared" si="9"/>
        <v>5557171</v>
      </c>
      <c r="I30" s="49">
        <f t="shared" si="10"/>
        <v>5.5571710000000003</v>
      </c>
      <c r="J30" s="48">
        <v>6272000</v>
      </c>
      <c r="P30" s="66">
        <f t="shared" si="11"/>
        <v>6.2720000000000002</v>
      </c>
      <c r="Q30" s="49"/>
    </row>
    <row r="31" spans="1:17" ht="13.2" customHeight="1">
      <c r="A31" s="50" t="s">
        <v>97</v>
      </c>
      <c r="B31" s="50"/>
      <c r="C31" s="44" t="s">
        <v>83</v>
      </c>
      <c r="J31" s="48">
        <v>2000000</v>
      </c>
      <c r="P31" s="66">
        <f t="shared" si="11"/>
        <v>2</v>
      </c>
      <c r="Q31" s="49"/>
    </row>
    <row r="32" spans="1:17" ht="13.2" customHeight="1">
      <c r="A32" s="50" t="s">
        <v>78</v>
      </c>
      <c r="B32" s="50"/>
      <c r="C32" s="44" t="s">
        <v>14</v>
      </c>
      <c r="E32" s="48">
        <v>7075000</v>
      </c>
      <c r="G32" s="48">
        <f t="shared" si="9"/>
        <v>7075000</v>
      </c>
      <c r="I32" s="49">
        <f t="shared" si="10"/>
        <v>7.0750000000000002</v>
      </c>
      <c r="J32" s="48">
        <v>7700000</v>
      </c>
      <c r="P32" s="66">
        <f t="shared" si="11"/>
        <v>7.7</v>
      </c>
      <c r="Q32" s="49"/>
    </row>
    <row r="33" spans="1:17" ht="13.2" customHeight="1">
      <c r="A33" s="50" t="s">
        <v>79</v>
      </c>
      <c r="B33" s="50"/>
      <c r="C33" s="44" t="s">
        <v>34</v>
      </c>
      <c r="E33" s="48">
        <v>11988834</v>
      </c>
      <c r="G33" s="48">
        <f t="shared" si="9"/>
        <v>11988834</v>
      </c>
      <c r="I33" s="49">
        <f t="shared" si="10"/>
        <v>11.988834000000001</v>
      </c>
      <c r="J33" s="48">
        <v>7565447</v>
      </c>
      <c r="M33" s="48">
        <f>-1000000-300000-223500</f>
        <v>-1523500</v>
      </c>
      <c r="N33" s="48">
        <f>+J33+M33</f>
        <v>6041947</v>
      </c>
      <c r="P33" s="66">
        <f>+N33/1000000</f>
        <v>6.0419470000000004</v>
      </c>
      <c r="Q33" s="49"/>
    </row>
    <row r="34" spans="1:17" ht="10.199999999999999">
      <c r="A34" s="65" t="s">
        <v>93</v>
      </c>
      <c r="B34" s="65"/>
      <c r="C34" s="44" t="s">
        <v>15</v>
      </c>
      <c r="E34" s="48">
        <v>2582000</v>
      </c>
      <c r="G34" s="48">
        <f t="shared" si="9"/>
        <v>2582000</v>
      </c>
      <c r="I34" s="49">
        <f t="shared" si="10"/>
        <v>2.5819999999999999</v>
      </c>
      <c r="J34" s="48">
        <v>2100000</v>
      </c>
      <c r="P34" s="66">
        <v>2.4</v>
      </c>
      <c r="Q34" s="49"/>
    </row>
    <row r="35" spans="1:17" ht="10.199999999999999">
      <c r="A35" s="84" t="s">
        <v>80</v>
      </c>
      <c r="B35" s="50"/>
      <c r="C35" s="44" t="s">
        <v>81</v>
      </c>
      <c r="E35" s="48">
        <v>4604320</v>
      </c>
      <c r="G35" s="48">
        <f t="shared" si="9"/>
        <v>4604320</v>
      </c>
      <c r="I35" s="49">
        <f t="shared" si="10"/>
        <v>4.6043200000000004</v>
      </c>
      <c r="J35" s="48">
        <v>5144099</v>
      </c>
      <c r="P35" s="66">
        <f t="shared" si="11"/>
        <v>5.1440989999999998</v>
      </c>
      <c r="Q35" s="49"/>
    </row>
    <row r="36" spans="1:17" ht="14.4" customHeight="1">
      <c r="A36" s="85" t="s">
        <v>96</v>
      </c>
      <c r="E36" s="62">
        <f>SUM(E28:E35)</f>
        <v>54348710</v>
      </c>
      <c r="G36" s="62">
        <f>SUM(G28:G35)</f>
        <v>54348710</v>
      </c>
      <c r="I36" s="59">
        <f>SUM(I28:I35)</f>
        <v>54.348710000000004</v>
      </c>
      <c r="J36" s="62">
        <f>SUM(J28:J35)</f>
        <v>53239614</v>
      </c>
      <c r="K36" s="80"/>
      <c r="L36" s="80"/>
      <c r="P36" s="59">
        <f>SUM(P28:P35)</f>
        <v>52.016114000000002</v>
      </c>
      <c r="Q36" s="49"/>
    </row>
    <row r="38" spans="1:17" ht="10.199999999999999">
      <c r="E38" s="66">
        <f>+E36+E26+E16</f>
        <v>354107819</v>
      </c>
      <c r="G38" s="66">
        <f>+G36+G26+G16</f>
        <v>351972819</v>
      </c>
      <c r="I38" s="66">
        <f>+I36+I26+I16</f>
        <v>351.97281900000002</v>
      </c>
      <c r="J38" s="66">
        <f>+J36+J26+J16</f>
        <v>382677059</v>
      </c>
      <c r="K38" s="66"/>
      <c r="L38" s="66"/>
      <c r="P38" s="66">
        <f>+P36+P26+P18</f>
        <v>376.86784400000005</v>
      </c>
    </row>
    <row r="39" spans="1:17" ht="10.199999999999999">
      <c r="A39" s="58"/>
      <c r="B39" s="58"/>
      <c r="E39" s="48">
        <v>3500000</v>
      </c>
      <c r="P39" s="49">
        <v>11.7</v>
      </c>
      <c r="Q39" s="48" t="s">
        <v>113</v>
      </c>
    </row>
    <row r="40" spans="1:17" ht="10.199999999999999">
      <c r="E40" s="48">
        <f>SUM(E38:E39)</f>
        <v>357607819</v>
      </c>
      <c r="J40" s="87">
        <f>SUM(J38:J39)</f>
        <v>382677059</v>
      </c>
      <c r="P40" s="49">
        <f>+P38+P39</f>
        <v>388.56784400000004</v>
      </c>
    </row>
    <row r="41" spans="1:17" ht="13.2" customHeight="1">
      <c r="J41" s="86">
        <v>5652200</v>
      </c>
    </row>
    <row r="42" spans="1:17" ht="10.199999999999999">
      <c r="E42" s="48">
        <v>364085819</v>
      </c>
      <c r="J42" s="87">
        <f>+J41+J40</f>
        <v>388329259</v>
      </c>
    </row>
    <row r="43" spans="1:17" ht="10.199999999999999">
      <c r="E43" s="48">
        <f>+E42-E40</f>
        <v>6478000</v>
      </c>
      <c r="J43" s="89">
        <v>384581040</v>
      </c>
      <c r="K43" s="58" t="s">
        <v>98</v>
      </c>
    </row>
    <row r="44" spans="1:17" ht="13.2" customHeight="1">
      <c r="J44" s="88">
        <f>+J42-J43</f>
        <v>3748219</v>
      </c>
    </row>
    <row r="45" spans="1:17" ht="10.199999999999999">
      <c r="A45" s="67"/>
      <c r="B45" s="67"/>
      <c r="C45" s="67"/>
      <c r="D45" s="67"/>
      <c r="E45" s="56"/>
      <c r="F45" s="56"/>
      <c r="G45" s="56"/>
      <c r="H45" s="56"/>
      <c r="I45" s="57"/>
      <c r="J45" s="56"/>
      <c r="K45" s="79"/>
      <c r="L45" s="79"/>
    </row>
    <row r="46" spans="1:17" ht="10.199999999999999">
      <c r="F46" s="58">
        <v>364085819</v>
      </c>
    </row>
    <row r="47" spans="1:17" ht="10.199999999999999">
      <c r="F47" s="48">
        <v>-1900000</v>
      </c>
    </row>
    <row r="48" spans="1:17" ht="10.199999999999999">
      <c r="F48" s="48">
        <v>-180000</v>
      </c>
    </row>
    <row r="49" spans="6:6" ht="10.199999999999999">
      <c r="F49" s="48">
        <v>-55000</v>
      </c>
    </row>
    <row r="50" spans="6:6" ht="10.199999999999999">
      <c r="F50" s="48">
        <f>SUM(F46:F49)</f>
        <v>361950819</v>
      </c>
    </row>
  </sheetData>
  <pageMargins left="0.7" right="0.7" top="0.41" bottom="0.45" header="0.3" footer="0.3"/>
  <pageSetup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A63CCC231C1B49AE11E51BA5AB82DA" ma:contentTypeVersion="1" ma:contentTypeDescription="Create a new document." ma:contentTypeScope="" ma:versionID="4f40da897e51de9cfeccb6cdfc3e837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438B6A-58F8-4EAB-B3C6-8A57FBC63EE8}"/>
</file>

<file path=customXml/itemProps2.xml><?xml version="1.0" encoding="utf-8"?>
<ds:datastoreItem xmlns:ds="http://schemas.openxmlformats.org/officeDocument/2006/customXml" ds:itemID="{C0582A97-C597-43D7-8B44-3197EE813302}"/>
</file>

<file path=customXml/itemProps3.xml><?xml version="1.0" encoding="utf-8"?>
<ds:datastoreItem xmlns:ds="http://schemas.openxmlformats.org/officeDocument/2006/customXml" ds:itemID="{3F2113C8-BA9B-460A-8044-4A69F24C25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FY15-16</vt:lpstr>
      <vt:lpstr>Detail</vt:lpstr>
      <vt:lpstr>Calc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2015-08-27T14:53:02Z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0x01010024A63CCC231C1B49AE11E51BA5AB82DA</vt:lpwstr>
  </property>
</Properties>
</file>